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SIP WB docs\Procurement of Goods\IHS\heat and hot water meters\окончательная версия_рус\"/>
    </mc:Choice>
  </mc:AlternateContent>
  <bookViews>
    <workbookView xWindow="0" yWindow="0" windowWidth="28800" windowHeight="130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O2229" i="1" l="1"/>
  <c r="P2229" i="1" s="1"/>
  <c r="Q2229" i="1" s="1"/>
  <c r="S2229" i="1" s="1"/>
  <c r="J2229" i="1" s="1"/>
  <c r="I2229" i="1"/>
  <c r="G2229" i="1"/>
  <c r="O2228" i="1"/>
  <c r="P2228" i="1" s="1"/>
  <c r="Q2228" i="1" s="1"/>
  <c r="S2228" i="1" s="1"/>
  <c r="J2228" i="1" s="1"/>
  <c r="I2228" i="1"/>
  <c r="G2228" i="1"/>
  <c r="O2227" i="1"/>
  <c r="P2227" i="1" s="1"/>
  <c r="Q2227" i="1" s="1"/>
  <c r="S2227" i="1" s="1"/>
  <c r="J2227" i="1" s="1"/>
  <c r="I2227" i="1"/>
  <c r="G2227" i="1"/>
  <c r="O2226" i="1"/>
  <c r="P2226" i="1" s="1"/>
  <c r="Q2226" i="1" s="1"/>
  <c r="S2226" i="1" s="1"/>
  <c r="J2226" i="1" s="1"/>
  <c r="I2226" i="1"/>
  <c r="G2226" i="1"/>
  <c r="O2225" i="1"/>
  <c r="P2225" i="1" s="1"/>
  <c r="Q2225" i="1" s="1"/>
  <c r="S2225" i="1" s="1"/>
  <c r="J2225" i="1" s="1"/>
  <c r="I2225" i="1"/>
  <c r="G2225" i="1"/>
  <c r="O2224" i="1"/>
  <c r="P2224" i="1" s="1"/>
  <c r="Q2224" i="1" s="1"/>
  <c r="S2224" i="1" s="1"/>
  <c r="J2224" i="1" s="1"/>
  <c r="I2224" i="1"/>
  <c r="G2224" i="1"/>
  <c r="O2223" i="1"/>
  <c r="P2223" i="1" s="1"/>
  <c r="Q2223" i="1" s="1"/>
  <c r="S2223" i="1" s="1"/>
  <c r="J2223" i="1" s="1"/>
  <c r="I2223" i="1"/>
  <c r="G2223" i="1"/>
  <c r="O2222" i="1"/>
  <c r="P2222" i="1" s="1"/>
  <c r="Q2222" i="1" s="1"/>
  <c r="S2222" i="1" s="1"/>
  <c r="J2222" i="1" s="1"/>
  <c r="I2222" i="1"/>
  <c r="G2222" i="1"/>
  <c r="O2221" i="1"/>
  <c r="P2221" i="1" s="1"/>
  <c r="Q2221" i="1" s="1"/>
  <c r="S2221" i="1" s="1"/>
  <c r="J2221" i="1" s="1"/>
  <c r="I2221" i="1"/>
  <c r="G2221" i="1"/>
  <c r="O2220" i="1"/>
  <c r="P2220" i="1" s="1"/>
  <c r="Q2220" i="1" s="1"/>
  <c r="S2220" i="1" s="1"/>
  <c r="J2220" i="1" s="1"/>
  <c r="I2220" i="1"/>
  <c r="G2220" i="1"/>
  <c r="O2219" i="1"/>
  <c r="P2219" i="1" s="1"/>
  <c r="Q2219" i="1" s="1"/>
  <c r="S2219" i="1" s="1"/>
  <c r="J2219" i="1" s="1"/>
  <c r="I2219" i="1"/>
  <c r="G2219" i="1"/>
  <c r="O2218" i="1"/>
  <c r="P2218" i="1" s="1"/>
  <c r="Q2218" i="1" s="1"/>
  <c r="S2218" i="1" s="1"/>
  <c r="J2218" i="1" s="1"/>
  <c r="I2218" i="1"/>
  <c r="G2218" i="1"/>
  <c r="O2217" i="1"/>
  <c r="P2217" i="1" s="1"/>
  <c r="Q2217" i="1" s="1"/>
  <c r="S2217" i="1" s="1"/>
  <c r="J2217" i="1" s="1"/>
  <c r="I2217" i="1"/>
  <c r="G2217" i="1"/>
  <c r="O2216" i="1"/>
  <c r="P2216" i="1" s="1"/>
  <c r="Q2216" i="1" s="1"/>
  <c r="S2216" i="1" s="1"/>
  <c r="J2216" i="1" s="1"/>
  <c r="I2216" i="1"/>
  <c r="G2216" i="1"/>
  <c r="O2215" i="1"/>
  <c r="P2215" i="1" s="1"/>
  <c r="Q2215" i="1" s="1"/>
  <c r="S2215" i="1" s="1"/>
  <c r="J2215" i="1" s="1"/>
  <c r="I2215" i="1"/>
  <c r="G2215" i="1"/>
  <c r="O2214" i="1"/>
  <c r="P2214" i="1" s="1"/>
  <c r="Q2214" i="1" s="1"/>
  <c r="S2214" i="1" s="1"/>
  <c r="J2214" i="1" s="1"/>
  <c r="I2214" i="1"/>
  <c r="G2214" i="1"/>
  <c r="O2213" i="1"/>
  <c r="P2213" i="1" s="1"/>
  <c r="Q2213" i="1" s="1"/>
  <c r="S2213" i="1" s="1"/>
  <c r="J2213" i="1" s="1"/>
  <c r="I2213" i="1"/>
  <c r="G2213" i="1"/>
  <c r="O2212" i="1"/>
  <c r="P2212" i="1" s="1"/>
  <c r="Q2212" i="1" s="1"/>
  <c r="S2212" i="1" s="1"/>
  <c r="J2212" i="1" s="1"/>
  <c r="I2212" i="1"/>
  <c r="G2212" i="1"/>
  <c r="O2211" i="1"/>
  <c r="P2211" i="1" s="1"/>
  <c r="Q2211" i="1" s="1"/>
  <c r="S2211" i="1" s="1"/>
  <c r="J2211" i="1" s="1"/>
  <c r="I2211" i="1"/>
  <c r="G2211" i="1"/>
  <c r="O2210" i="1"/>
  <c r="P2210" i="1" s="1"/>
  <c r="Q2210" i="1" s="1"/>
  <c r="S2210" i="1" s="1"/>
  <c r="J2210" i="1" s="1"/>
  <c r="I2210" i="1"/>
  <c r="G2210" i="1"/>
  <c r="O2209" i="1"/>
  <c r="P2209" i="1" s="1"/>
  <c r="Q2209" i="1" s="1"/>
  <c r="S2209" i="1" s="1"/>
  <c r="J2209" i="1" s="1"/>
  <c r="I2209" i="1"/>
  <c r="G2209" i="1"/>
  <c r="O2208" i="1"/>
  <c r="P2208" i="1" s="1"/>
  <c r="Q2208" i="1" s="1"/>
  <c r="S2208" i="1" s="1"/>
  <c r="I2208" i="1"/>
  <c r="G2208" i="1"/>
  <c r="O2207" i="1"/>
  <c r="P2207" i="1" s="1"/>
  <c r="Q2207" i="1" s="1"/>
  <c r="S2207" i="1" s="1"/>
  <c r="J2207" i="1" s="1"/>
  <c r="I2207" i="1"/>
  <c r="G2207" i="1"/>
  <c r="O2206" i="1"/>
  <c r="P2206" i="1" s="1"/>
  <c r="Q2206" i="1" s="1"/>
  <c r="S2206" i="1" s="1"/>
  <c r="J2206" i="1" s="1"/>
  <c r="I2206" i="1"/>
  <c r="G2206" i="1"/>
  <c r="O2205" i="1"/>
  <c r="P2205" i="1" s="1"/>
  <c r="Q2205" i="1" s="1"/>
  <c r="S2205" i="1" s="1"/>
  <c r="J2205" i="1" s="1"/>
  <c r="I2205" i="1"/>
  <c r="G2205" i="1"/>
  <c r="O2204" i="1"/>
  <c r="P2204" i="1" s="1"/>
  <c r="Q2204" i="1" s="1"/>
  <c r="S2204" i="1" s="1"/>
  <c r="J2204" i="1" s="1"/>
  <c r="I2204" i="1"/>
  <c r="G2204" i="1"/>
  <c r="O2203" i="1"/>
  <c r="P2203" i="1" s="1"/>
  <c r="Q2203" i="1" s="1"/>
  <c r="S2203" i="1" s="1"/>
  <c r="J2203" i="1" s="1"/>
  <c r="I2203" i="1"/>
  <c r="G2203" i="1"/>
  <c r="O2202" i="1"/>
  <c r="P2202" i="1" s="1"/>
  <c r="Q2202" i="1" s="1"/>
  <c r="S2202" i="1" s="1"/>
  <c r="J2202" i="1" s="1"/>
  <c r="I2202" i="1"/>
  <c r="G2202" i="1"/>
  <c r="O2201" i="1"/>
  <c r="P2201" i="1" s="1"/>
  <c r="Q2201" i="1" s="1"/>
  <c r="S2201" i="1" s="1"/>
  <c r="J2201" i="1" s="1"/>
  <c r="I2201" i="1"/>
  <c r="G2201" i="1"/>
  <c r="O2200" i="1"/>
  <c r="P2200" i="1" s="1"/>
  <c r="Q2200" i="1" s="1"/>
  <c r="S2200" i="1" s="1"/>
  <c r="J2200" i="1" s="1"/>
  <c r="I2200" i="1"/>
  <c r="G2200" i="1"/>
  <c r="O2199" i="1"/>
  <c r="P2199" i="1" s="1"/>
  <c r="Q2199" i="1" s="1"/>
  <c r="S2199" i="1" s="1"/>
  <c r="J2199" i="1" s="1"/>
  <c r="I2199" i="1"/>
  <c r="G2199" i="1"/>
  <c r="O2198" i="1"/>
  <c r="P2198" i="1" s="1"/>
  <c r="Q2198" i="1" s="1"/>
  <c r="S2198" i="1" s="1"/>
  <c r="J2198" i="1" s="1"/>
  <c r="I2198" i="1"/>
  <c r="G2198" i="1"/>
  <c r="O2197" i="1"/>
  <c r="P2197" i="1" s="1"/>
  <c r="Q2197" i="1" s="1"/>
  <c r="S2197" i="1" s="1"/>
  <c r="J2197" i="1" s="1"/>
  <c r="I2197" i="1"/>
  <c r="G2197" i="1"/>
  <c r="O2196" i="1"/>
  <c r="P2196" i="1" s="1"/>
  <c r="Q2196" i="1" s="1"/>
  <c r="S2196" i="1" s="1"/>
  <c r="J2196" i="1" s="1"/>
  <c r="I2196" i="1"/>
  <c r="G2196" i="1"/>
  <c r="O2195" i="1"/>
  <c r="P2195" i="1" s="1"/>
  <c r="Q2195" i="1" s="1"/>
  <c r="S2195" i="1" s="1"/>
  <c r="J2195" i="1" s="1"/>
  <c r="I2195" i="1"/>
  <c r="G2195" i="1"/>
  <c r="O2194" i="1"/>
  <c r="P2194" i="1" s="1"/>
  <c r="Q2194" i="1" s="1"/>
  <c r="S2194" i="1" s="1"/>
  <c r="J2194" i="1" s="1"/>
  <c r="I2194" i="1"/>
  <c r="G2194" i="1"/>
  <c r="O2193" i="1"/>
  <c r="P2193" i="1" s="1"/>
  <c r="Q2193" i="1" s="1"/>
  <c r="S2193" i="1" s="1"/>
  <c r="J2193" i="1" s="1"/>
  <c r="I2193" i="1"/>
  <c r="G2193" i="1"/>
  <c r="O2192" i="1"/>
  <c r="P2192" i="1" s="1"/>
  <c r="Q2192" i="1" s="1"/>
  <c r="S2192" i="1" s="1"/>
  <c r="J2192" i="1" s="1"/>
  <c r="I2192" i="1"/>
  <c r="G2192" i="1"/>
  <c r="O2191" i="1"/>
  <c r="P2191" i="1" s="1"/>
  <c r="Q2191" i="1" s="1"/>
  <c r="S2191" i="1" s="1"/>
  <c r="J2191" i="1" s="1"/>
  <c r="I2191" i="1"/>
  <c r="G2191" i="1"/>
  <c r="O2190" i="1"/>
  <c r="P2190" i="1" s="1"/>
  <c r="Q2190" i="1" s="1"/>
  <c r="S2190" i="1" s="1"/>
  <c r="J2190" i="1" s="1"/>
  <c r="I2190" i="1"/>
  <c r="G2190" i="1"/>
  <c r="O2189" i="1"/>
  <c r="P2189" i="1" s="1"/>
  <c r="Q2189" i="1" s="1"/>
  <c r="S2189" i="1" s="1"/>
  <c r="J2189" i="1" s="1"/>
  <c r="I2189" i="1"/>
  <c r="G2189" i="1"/>
  <c r="O2188" i="1"/>
  <c r="P2188" i="1" s="1"/>
  <c r="Q2188" i="1" s="1"/>
  <c r="S2188" i="1" s="1"/>
  <c r="J2188" i="1" s="1"/>
  <c r="I2188" i="1"/>
  <c r="G2188" i="1"/>
  <c r="O2187" i="1"/>
  <c r="P2187" i="1" s="1"/>
  <c r="Q2187" i="1" s="1"/>
  <c r="S2187" i="1" s="1"/>
  <c r="J2187" i="1" s="1"/>
  <c r="I2187" i="1"/>
  <c r="G2187" i="1"/>
  <c r="O2186" i="1"/>
  <c r="P2186" i="1" s="1"/>
  <c r="Q2186" i="1" s="1"/>
  <c r="S2186" i="1" s="1"/>
  <c r="J2186" i="1" s="1"/>
  <c r="I2186" i="1"/>
  <c r="G2186" i="1"/>
  <c r="O2185" i="1"/>
  <c r="P2185" i="1" s="1"/>
  <c r="Q2185" i="1" s="1"/>
  <c r="S2185" i="1" s="1"/>
  <c r="J2185" i="1" s="1"/>
  <c r="I2185" i="1"/>
  <c r="G2185" i="1"/>
  <c r="O2184" i="1"/>
  <c r="P2184" i="1" s="1"/>
  <c r="Q2184" i="1" s="1"/>
  <c r="S2184" i="1" s="1"/>
  <c r="J2184" i="1" s="1"/>
  <c r="I2184" i="1"/>
  <c r="G2184" i="1"/>
  <c r="O2183" i="1"/>
  <c r="P2183" i="1" s="1"/>
  <c r="Q2183" i="1" s="1"/>
  <c r="S2183" i="1" s="1"/>
  <c r="J2183" i="1" s="1"/>
  <c r="I2183" i="1"/>
  <c r="G2183" i="1"/>
  <c r="O2182" i="1"/>
  <c r="P2182" i="1" s="1"/>
  <c r="Q2182" i="1" s="1"/>
  <c r="S2182" i="1" s="1"/>
  <c r="J2182" i="1" s="1"/>
  <c r="I2182" i="1"/>
  <c r="G2182" i="1"/>
  <c r="O2181" i="1"/>
  <c r="P2181" i="1" s="1"/>
  <c r="Q2181" i="1" s="1"/>
  <c r="S2181" i="1" s="1"/>
  <c r="J2181" i="1" s="1"/>
  <c r="I2181" i="1"/>
  <c r="G2181" i="1"/>
  <c r="O2180" i="1"/>
  <c r="P2180" i="1" s="1"/>
  <c r="Q2180" i="1" s="1"/>
  <c r="S2180" i="1" s="1"/>
  <c r="J2180" i="1" s="1"/>
  <c r="I2180" i="1"/>
  <c r="G2180" i="1"/>
  <c r="O2179" i="1"/>
  <c r="P2179" i="1" s="1"/>
  <c r="Q2179" i="1" s="1"/>
  <c r="S2179" i="1" s="1"/>
  <c r="J2179" i="1" s="1"/>
  <c r="I2179" i="1"/>
  <c r="G2179" i="1"/>
  <c r="O2178" i="1"/>
  <c r="P2178" i="1" s="1"/>
  <c r="Q2178" i="1" s="1"/>
  <c r="S2178" i="1" s="1"/>
  <c r="J2178" i="1" s="1"/>
  <c r="I2178" i="1"/>
  <c r="G2178" i="1"/>
  <c r="O2177" i="1"/>
  <c r="P2177" i="1" s="1"/>
  <c r="Q2177" i="1" s="1"/>
  <c r="S2177" i="1" s="1"/>
  <c r="J2177" i="1" s="1"/>
  <c r="I2177" i="1"/>
  <c r="G2177" i="1"/>
  <c r="O2176" i="1"/>
  <c r="P2176" i="1" s="1"/>
  <c r="Q2176" i="1" s="1"/>
  <c r="S2176" i="1" s="1"/>
  <c r="J2176" i="1" s="1"/>
  <c r="I2176" i="1"/>
  <c r="G2176" i="1"/>
  <c r="O2175" i="1"/>
  <c r="P2175" i="1" s="1"/>
  <c r="Q2175" i="1" s="1"/>
  <c r="S2175" i="1" s="1"/>
  <c r="J2175" i="1" s="1"/>
  <c r="I2175" i="1"/>
  <c r="G2175" i="1"/>
  <c r="O2174" i="1"/>
  <c r="P2174" i="1" s="1"/>
  <c r="Q2174" i="1" s="1"/>
  <c r="S2174" i="1" s="1"/>
  <c r="J2174" i="1" s="1"/>
  <c r="O2173" i="1"/>
  <c r="P2173" i="1" s="1"/>
  <c r="Q2173" i="1" s="1"/>
  <c r="S2173" i="1" s="1"/>
  <c r="J2173" i="1" s="1"/>
  <c r="I2173" i="1"/>
  <c r="O2172" i="1"/>
  <c r="P2172" i="1" s="1"/>
  <c r="Q2172" i="1" s="1"/>
  <c r="S2172" i="1" s="1"/>
  <c r="J2172" i="1" s="1"/>
  <c r="I2172" i="1"/>
  <c r="G2172" i="1"/>
  <c r="O2171" i="1"/>
  <c r="P2171" i="1" s="1"/>
  <c r="Q2171" i="1" s="1"/>
  <c r="S2171" i="1" s="1"/>
  <c r="J2171" i="1" s="1"/>
  <c r="I2171" i="1"/>
  <c r="G2171" i="1"/>
  <c r="O2170" i="1"/>
  <c r="P2170" i="1" s="1"/>
  <c r="Q2170" i="1" s="1"/>
  <c r="S2170" i="1" s="1"/>
  <c r="J2170" i="1" s="1"/>
  <c r="I2170" i="1"/>
  <c r="G2170" i="1"/>
  <c r="O2169" i="1"/>
  <c r="P2169" i="1" s="1"/>
  <c r="Q2169" i="1" s="1"/>
  <c r="S2169" i="1" s="1"/>
  <c r="J2169" i="1" s="1"/>
  <c r="I2169" i="1"/>
  <c r="G2169" i="1"/>
  <c r="O2168" i="1"/>
  <c r="P2168" i="1" s="1"/>
  <c r="Q2168" i="1" s="1"/>
  <c r="S2168" i="1" s="1"/>
  <c r="J2168" i="1" s="1"/>
  <c r="I2168" i="1"/>
  <c r="G2168" i="1"/>
  <c r="O2167" i="1"/>
  <c r="P2167" i="1" s="1"/>
  <c r="Q2167" i="1" s="1"/>
  <c r="S2167" i="1" s="1"/>
  <c r="J2167" i="1" s="1"/>
  <c r="I2167" i="1"/>
  <c r="G2167" i="1"/>
  <c r="O2166" i="1"/>
  <c r="P2166" i="1" s="1"/>
  <c r="Q2166" i="1" s="1"/>
  <c r="S2166" i="1" s="1"/>
  <c r="J2166" i="1" s="1"/>
  <c r="I2166" i="1"/>
  <c r="G2166" i="1"/>
  <c r="O2165" i="1"/>
  <c r="P2165" i="1" s="1"/>
  <c r="Q2165" i="1" s="1"/>
  <c r="S2165" i="1" s="1"/>
  <c r="J2165" i="1" s="1"/>
  <c r="I2165" i="1"/>
  <c r="G2165" i="1"/>
  <c r="O2164" i="1"/>
  <c r="P2164" i="1" s="1"/>
  <c r="Q2164" i="1" s="1"/>
  <c r="S2164" i="1" s="1"/>
  <c r="J2164" i="1" s="1"/>
  <c r="I2164" i="1"/>
  <c r="G2164" i="1"/>
  <c r="O2163" i="1"/>
  <c r="P2163" i="1" s="1"/>
  <c r="Q2163" i="1" s="1"/>
  <c r="S2163" i="1" s="1"/>
  <c r="J2163" i="1" s="1"/>
  <c r="I2163" i="1"/>
  <c r="G2163" i="1"/>
  <c r="O2162" i="1"/>
  <c r="P2162" i="1" s="1"/>
  <c r="Q2162" i="1" s="1"/>
  <c r="S2162" i="1" s="1"/>
  <c r="J2162" i="1" s="1"/>
  <c r="I2162" i="1"/>
  <c r="G2162" i="1"/>
  <c r="O2161" i="1"/>
  <c r="P2161" i="1" s="1"/>
  <c r="Q2161" i="1" s="1"/>
  <c r="S2161" i="1" s="1"/>
  <c r="J2161" i="1" s="1"/>
  <c r="I2161" i="1"/>
  <c r="G2161" i="1"/>
  <c r="O2160" i="1"/>
  <c r="P2160" i="1" s="1"/>
  <c r="Q2160" i="1" s="1"/>
  <c r="S2160" i="1" s="1"/>
  <c r="J2160" i="1" s="1"/>
  <c r="I2160" i="1"/>
  <c r="G2160" i="1"/>
  <c r="O2159" i="1"/>
  <c r="P2159" i="1" s="1"/>
  <c r="Q2159" i="1" s="1"/>
  <c r="S2159" i="1" s="1"/>
  <c r="J2159" i="1" s="1"/>
  <c r="I2159" i="1"/>
  <c r="G2159" i="1"/>
  <c r="O2158" i="1"/>
  <c r="P2158" i="1" s="1"/>
  <c r="Q2158" i="1" s="1"/>
  <c r="S2158" i="1" s="1"/>
  <c r="J2158" i="1" s="1"/>
  <c r="I2158" i="1"/>
  <c r="G2158" i="1"/>
  <c r="O2157" i="1"/>
  <c r="P2157" i="1" s="1"/>
  <c r="Q2157" i="1" s="1"/>
  <c r="S2157" i="1" s="1"/>
  <c r="J2157" i="1" s="1"/>
  <c r="I2157" i="1"/>
  <c r="G2157" i="1"/>
  <c r="O2156" i="1"/>
  <c r="P2156" i="1" s="1"/>
  <c r="Q2156" i="1" s="1"/>
  <c r="S2156" i="1" s="1"/>
  <c r="J2156" i="1" s="1"/>
  <c r="I2156" i="1"/>
  <c r="G2156" i="1"/>
  <c r="O2155" i="1"/>
  <c r="P2155" i="1" s="1"/>
  <c r="Q2155" i="1" s="1"/>
  <c r="S2155" i="1" s="1"/>
  <c r="J2155" i="1" s="1"/>
  <c r="I2155" i="1"/>
  <c r="G2155" i="1"/>
  <c r="O2154" i="1"/>
  <c r="P2154" i="1" s="1"/>
  <c r="Q2154" i="1" s="1"/>
  <c r="S2154" i="1" s="1"/>
  <c r="J2154" i="1" s="1"/>
  <c r="I2154" i="1"/>
  <c r="G2154" i="1"/>
  <c r="O2153" i="1"/>
  <c r="P2153" i="1" s="1"/>
  <c r="Q2153" i="1" s="1"/>
  <c r="S2153" i="1" s="1"/>
  <c r="J2153" i="1" s="1"/>
  <c r="I2153" i="1"/>
  <c r="G2153" i="1"/>
  <c r="O2152" i="1"/>
  <c r="P2152" i="1" s="1"/>
  <c r="Q2152" i="1" s="1"/>
  <c r="S2152" i="1" s="1"/>
  <c r="J2152" i="1" s="1"/>
  <c r="I2152" i="1"/>
  <c r="G2152" i="1"/>
  <c r="O2151" i="1"/>
  <c r="P2151" i="1" s="1"/>
  <c r="Q2151" i="1" s="1"/>
  <c r="S2151" i="1" s="1"/>
  <c r="J2151" i="1" s="1"/>
  <c r="I2151" i="1"/>
  <c r="G2151" i="1"/>
  <c r="O2150" i="1"/>
  <c r="P2150" i="1" s="1"/>
  <c r="Q2150" i="1" s="1"/>
  <c r="S2150" i="1" s="1"/>
  <c r="J2150" i="1" s="1"/>
  <c r="I2150" i="1"/>
  <c r="G2150" i="1"/>
  <c r="O2149" i="1"/>
  <c r="P2149" i="1" s="1"/>
  <c r="Q2149" i="1" s="1"/>
  <c r="S2149" i="1" s="1"/>
  <c r="J2149" i="1" s="1"/>
  <c r="I2149" i="1"/>
  <c r="G2149" i="1"/>
  <c r="O2148" i="1"/>
  <c r="P2148" i="1" s="1"/>
  <c r="Q2148" i="1" s="1"/>
  <c r="S2148" i="1" s="1"/>
  <c r="J2148" i="1" s="1"/>
  <c r="I2148" i="1"/>
  <c r="G2148" i="1"/>
  <c r="O2147" i="1"/>
  <c r="P2147" i="1" s="1"/>
  <c r="Q2147" i="1" s="1"/>
  <c r="S2147" i="1" s="1"/>
  <c r="J2147" i="1" s="1"/>
  <c r="I2147" i="1"/>
  <c r="G2147" i="1"/>
  <c r="O2146" i="1"/>
  <c r="P2146" i="1" s="1"/>
  <c r="Q2146" i="1" s="1"/>
  <c r="S2146" i="1" s="1"/>
  <c r="J2146" i="1" s="1"/>
  <c r="I2146" i="1"/>
  <c r="G2146" i="1"/>
  <c r="O2145" i="1"/>
  <c r="P2145" i="1" s="1"/>
  <c r="Q2145" i="1" s="1"/>
  <c r="S2145" i="1" s="1"/>
  <c r="J2145" i="1" s="1"/>
  <c r="I2145" i="1"/>
  <c r="G2145" i="1"/>
  <c r="O2144" i="1"/>
  <c r="P2144" i="1" s="1"/>
  <c r="Q2144" i="1" s="1"/>
  <c r="S2144" i="1" s="1"/>
  <c r="J2144" i="1" s="1"/>
  <c r="I2144" i="1"/>
  <c r="G2144" i="1"/>
  <c r="O2143" i="1"/>
  <c r="P2143" i="1" s="1"/>
  <c r="Q2143" i="1" s="1"/>
  <c r="S2143" i="1" s="1"/>
  <c r="J2143" i="1" s="1"/>
  <c r="I2143" i="1"/>
  <c r="G2143" i="1"/>
  <c r="O2142" i="1"/>
  <c r="P2142" i="1" s="1"/>
  <c r="Q2142" i="1" s="1"/>
  <c r="S2142" i="1" s="1"/>
  <c r="J2142" i="1" s="1"/>
  <c r="I2142" i="1"/>
  <c r="G2142" i="1"/>
  <c r="O2141" i="1"/>
  <c r="P2141" i="1" s="1"/>
  <c r="Q2141" i="1" s="1"/>
  <c r="S2141" i="1" s="1"/>
  <c r="J2141" i="1" s="1"/>
  <c r="I2141" i="1"/>
  <c r="G2141" i="1"/>
  <c r="O2140" i="1"/>
  <c r="P2140" i="1" s="1"/>
  <c r="Q2140" i="1" s="1"/>
  <c r="S2140" i="1" s="1"/>
  <c r="J2140" i="1" s="1"/>
  <c r="I2140" i="1"/>
  <c r="G2140" i="1"/>
  <c r="O2139" i="1"/>
  <c r="P2139" i="1" s="1"/>
  <c r="Q2139" i="1" s="1"/>
  <c r="S2139" i="1" s="1"/>
  <c r="J2139" i="1" s="1"/>
  <c r="I2139" i="1"/>
  <c r="G2139" i="1"/>
  <c r="O2138" i="1"/>
  <c r="P2138" i="1" s="1"/>
  <c r="Q2138" i="1" s="1"/>
  <c r="S2138" i="1" s="1"/>
  <c r="J2138" i="1" s="1"/>
  <c r="I2138" i="1"/>
  <c r="G2138" i="1"/>
  <c r="O2137" i="1"/>
  <c r="P2137" i="1" s="1"/>
  <c r="Q2137" i="1" s="1"/>
  <c r="S2137" i="1" s="1"/>
  <c r="J2137" i="1" s="1"/>
  <c r="I2137" i="1"/>
  <c r="G2137" i="1"/>
  <c r="O2136" i="1"/>
  <c r="P2136" i="1" s="1"/>
  <c r="Q2136" i="1" s="1"/>
  <c r="S2136" i="1" s="1"/>
  <c r="J2136" i="1" s="1"/>
  <c r="I2136" i="1"/>
  <c r="G2136" i="1"/>
  <c r="O2135" i="1"/>
  <c r="P2135" i="1" s="1"/>
  <c r="Q2135" i="1" s="1"/>
  <c r="S2135" i="1" s="1"/>
  <c r="J2135" i="1" s="1"/>
  <c r="I2135" i="1"/>
  <c r="G2135" i="1"/>
  <c r="O2134" i="1"/>
  <c r="P2134" i="1" s="1"/>
  <c r="Q2134" i="1" s="1"/>
  <c r="S2134" i="1" s="1"/>
  <c r="J2134" i="1" s="1"/>
  <c r="I2134" i="1"/>
  <c r="G2134" i="1"/>
  <c r="O2133" i="1"/>
  <c r="P2133" i="1" s="1"/>
  <c r="Q2133" i="1" s="1"/>
  <c r="S2133" i="1" s="1"/>
  <c r="J2133" i="1" s="1"/>
  <c r="I2133" i="1"/>
  <c r="G2133" i="1"/>
  <c r="O2132" i="1"/>
  <c r="P2132" i="1" s="1"/>
  <c r="Q2132" i="1" s="1"/>
  <c r="S2132" i="1" s="1"/>
  <c r="J2132" i="1" s="1"/>
  <c r="I2132" i="1"/>
  <c r="G2132" i="1"/>
  <c r="O2131" i="1"/>
  <c r="P2131" i="1" s="1"/>
  <c r="Q2131" i="1" s="1"/>
  <c r="S2131" i="1" s="1"/>
  <c r="J2131" i="1" s="1"/>
  <c r="I2131" i="1"/>
  <c r="G2131" i="1"/>
  <c r="O2130" i="1"/>
  <c r="P2130" i="1" s="1"/>
  <c r="Q2130" i="1" s="1"/>
  <c r="S2130" i="1" s="1"/>
  <c r="J2130" i="1" s="1"/>
  <c r="I2130" i="1"/>
  <c r="G2130" i="1"/>
  <c r="O2129" i="1"/>
  <c r="P2129" i="1" s="1"/>
  <c r="Q2129" i="1" s="1"/>
  <c r="S2129" i="1" s="1"/>
  <c r="J2129" i="1" s="1"/>
  <c r="I2129" i="1"/>
  <c r="G2129" i="1"/>
  <c r="O2128" i="1"/>
  <c r="P2128" i="1" s="1"/>
  <c r="Q2128" i="1" s="1"/>
  <c r="S2128" i="1" s="1"/>
  <c r="J2128" i="1" s="1"/>
  <c r="I2128" i="1"/>
  <c r="G2128" i="1"/>
  <c r="O2127" i="1"/>
  <c r="P2127" i="1" s="1"/>
  <c r="Q2127" i="1" s="1"/>
  <c r="S2127" i="1" s="1"/>
  <c r="J2127" i="1" s="1"/>
  <c r="I2127" i="1"/>
  <c r="G2127" i="1"/>
  <c r="O2126" i="1"/>
  <c r="P2126" i="1" s="1"/>
  <c r="Q2126" i="1" s="1"/>
  <c r="S2126" i="1" s="1"/>
  <c r="J2126" i="1" s="1"/>
  <c r="I2126" i="1"/>
  <c r="G2126" i="1"/>
  <c r="O2125" i="1"/>
  <c r="P2125" i="1" s="1"/>
  <c r="Q2125" i="1" s="1"/>
  <c r="S2125" i="1" s="1"/>
  <c r="J2125" i="1" s="1"/>
  <c r="I2125" i="1"/>
  <c r="G2125" i="1"/>
  <c r="O2124" i="1"/>
  <c r="P2124" i="1" s="1"/>
  <c r="Q2124" i="1" s="1"/>
  <c r="S2124" i="1" s="1"/>
  <c r="J2124" i="1" s="1"/>
  <c r="I2124" i="1"/>
  <c r="G2124" i="1"/>
  <c r="O2123" i="1"/>
  <c r="P2123" i="1" s="1"/>
  <c r="Q2123" i="1" s="1"/>
  <c r="S2123" i="1" s="1"/>
  <c r="J2123" i="1" s="1"/>
  <c r="I2123" i="1"/>
  <c r="G2123" i="1"/>
  <c r="O2122" i="1"/>
  <c r="P2122" i="1" s="1"/>
  <c r="Q2122" i="1" s="1"/>
  <c r="S2122" i="1" s="1"/>
  <c r="J2122" i="1" s="1"/>
  <c r="I2122" i="1"/>
  <c r="G2122" i="1"/>
  <c r="O2121" i="1"/>
  <c r="P2121" i="1" s="1"/>
  <c r="Q2121" i="1" s="1"/>
  <c r="S2121" i="1" s="1"/>
  <c r="J2121" i="1" s="1"/>
  <c r="I2121" i="1"/>
  <c r="G2121" i="1"/>
  <c r="O2120" i="1"/>
  <c r="P2120" i="1" s="1"/>
  <c r="Q2120" i="1" s="1"/>
  <c r="S2120" i="1" s="1"/>
  <c r="J2120" i="1" s="1"/>
  <c r="I2120" i="1"/>
  <c r="G2120" i="1"/>
  <c r="O2119" i="1"/>
  <c r="P2119" i="1" s="1"/>
  <c r="Q2119" i="1" s="1"/>
  <c r="S2119" i="1" s="1"/>
  <c r="J2119" i="1" s="1"/>
  <c r="I2119" i="1"/>
  <c r="G2119" i="1"/>
  <c r="O2118" i="1"/>
  <c r="P2118" i="1" s="1"/>
  <c r="Q2118" i="1" s="1"/>
  <c r="S2118" i="1" s="1"/>
  <c r="J2118" i="1" s="1"/>
  <c r="I2118" i="1"/>
  <c r="G2118" i="1"/>
  <c r="O2117" i="1"/>
  <c r="P2117" i="1" s="1"/>
  <c r="Q2117" i="1" s="1"/>
  <c r="S2117" i="1" s="1"/>
  <c r="J2117" i="1" s="1"/>
  <c r="I2117" i="1"/>
  <c r="G2117" i="1"/>
  <c r="O2116" i="1"/>
  <c r="P2116" i="1" s="1"/>
  <c r="Q2116" i="1" s="1"/>
  <c r="S2116" i="1" s="1"/>
  <c r="J2116" i="1" s="1"/>
  <c r="I2116" i="1"/>
  <c r="G2116" i="1"/>
  <c r="O2115" i="1"/>
  <c r="P2115" i="1" s="1"/>
  <c r="Q2115" i="1" s="1"/>
  <c r="S2115" i="1" s="1"/>
  <c r="J2115" i="1" s="1"/>
  <c r="I2115" i="1"/>
  <c r="G2115" i="1"/>
  <c r="O2114" i="1"/>
  <c r="P2114" i="1" s="1"/>
  <c r="Q2114" i="1" s="1"/>
  <c r="S2114" i="1" s="1"/>
  <c r="J2114" i="1" s="1"/>
  <c r="I2114" i="1"/>
  <c r="G2114" i="1"/>
  <c r="O2113" i="1"/>
  <c r="P2113" i="1" s="1"/>
  <c r="Q2113" i="1" s="1"/>
  <c r="S2113" i="1" s="1"/>
  <c r="J2113" i="1" s="1"/>
  <c r="I2113" i="1"/>
  <c r="G2113" i="1"/>
  <c r="O2112" i="1"/>
  <c r="P2112" i="1" s="1"/>
  <c r="Q2112" i="1" s="1"/>
  <c r="S2112" i="1" s="1"/>
  <c r="J2112" i="1" s="1"/>
  <c r="I2112" i="1"/>
  <c r="G2112" i="1"/>
  <c r="O2111" i="1"/>
  <c r="P2111" i="1" s="1"/>
  <c r="Q2111" i="1" s="1"/>
  <c r="S2111" i="1" s="1"/>
  <c r="J2111" i="1" s="1"/>
  <c r="I2111" i="1"/>
  <c r="G2111" i="1"/>
  <c r="O2110" i="1"/>
  <c r="P2110" i="1" s="1"/>
  <c r="Q2110" i="1" s="1"/>
  <c r="S2110" i="1" s="1"/>
  <c r="J2110" i="1" s="1"/>
  <c r="I2110" i="1"/>
  <c r="G2110" i="1"/>
  <c r="O2109" i="1"/>
  <c r="P2109" i="1" s="1"/>
  <c r="Q2109" i="1" s="1"/>
  <c r="S2109" i="1" s="1"/>
  <c r="J2109" i="1" s="1"/>
  <c r="I2109" i="1"/>
  <c r="G2109" i="1"/>
  <c r="O2108" i="1"/>
  <c r="P2108" i="1" s="1"/>
  <c r="Q2108" i="1" s="1"/>
  <c r="S2108" i="1" s="1"/>
  <c r="J2108" i="1" s="1"/>
  <c r="I2108" i="1"/>
  <c r="G2108" i="1"/>
  <c r="O2107" i="1"/>
  <c r="P2107" i="1" s="1"/>
  <c r="Q2107" i="1" s="1"/>
  <c r="S2107" i="1" s="1"/>
  <c r="J2107" i="1" s="1"/>
  <c r="I2107" i="1"/>
  <c r="G2107" i="1"/>
  <c r="O2106" i="1"/>
  <c r="P2106" i="1" s="1"/>
  <c r="Q2106" i="1" s="1"/>
  <c r="S2106" i="1" s="1"/>
  <c r="J2106" i="1" s="1"/>
  <c r="I2106" i="1"/>
  <c r="G2106" i="1"/>
  <c r="O2105" i="1"/>
  <c r="P2105" i="1" s="1"/>
  <c r="Q2105" i="1" s="1"/>
  <c r="S2105" i="1" s="1"/>
  <c r="J2105" i="1" s="1"/>
  <c r="I2105" i="1"/>
  <c r="G2105" i="1"/>
  <c r="O2104" i="1"/>
  <c r="P2104" i="1" s="1"/>
  <c r="Q2104" i="1" s="1"/>
  <c r="S2104" i="1" s="1"/>
  <c r="J2104" i="1" s="1"/>
  <c r="I2104" i="1"/>
  <c r="G2104" i="1"/>
  <c r="O2103" i="1"/>
  <c r="P2103" i="1" s="1"/>
  <c r="Q2103" i="1" s="1"/>
  <c r="S2103" i="1" s="1"/>
  <c r="J2103" i="1" s="1"/>
  <c r="I2103" i="1"/>
  <c r="G2103" i="1"/>
  <c r="O2102" i="1"/>
  <c r="P2102" i="1" s="1"/>
  <c r="Q2102" i="1" s="1"/>
  <c r="S2102" i="1" s="1"/>
  <c r="I2102" i="1"/>
  <c r="G2102" i="1"/>
  <c r="O2101" i="1"/>
  <c r="P2101" i="1" s="1"/>
  <c r="Q2101" i="1" s="1"/>
  <c r="S2101" i="1" s="1"/>
  <c r="J2101" i="1" s="1"/>
  <c r="I2101" i="1"/>
  <c r="G2101" i="1"/>
  <c r="O2100" i="1"/>
  <c r="P2100" i="1" s="1"/>
  <c r="Q2100" i="1" s="1"/>
  <c r="S2100" i="1" s="1"/>
  <c r="J2100" i="1" s="1"/>
  <c r="I2100" i="1"/>
  <c r="G2100" i="1"/>
  <c r="O2099" i="1"/>
  <c r="P2099" i="1" s="1"/>
  <c r="Q2099" i="1" s="1"/>
  <c r="S2099" i="1" s="1"/>
  <c r="J2099" i="1" s="1"/>
  <c r="I2099" i="1"/>
  <c r="G2099" i="1"/>
  <c r="O2098" i="1"/>
  <c r="P2098" i="1" s="1"/>
  <c r="Q2098" i="1" s="1"/>
  <c r="S2098" i="1" s="1"/>
  <c r="J2098" i="1" s="1"/>
  <c r="I2098" i="1"/>
  <c r="G2098" i="1"/>
  <c r="O2097" i="1"/>
  <c r="P2097" i="1" s="1"/>
  <c r="Q2097" i="1" s="1"/>
  <c r="S2097" i="1" s="1"/>
  <c r="J2097" i="1" s="1"/>
  <c r="I2097" i="1"/>
  <c r="G2097" i="1"/>
  <c r="O2096" i="1"/>
  <c r="P2096" i="1" s="1"/>
  <c r="Q2096" i="1" s="1"/>
  <c r="S2096" i="1" s="1"/>
  <c r="J2096" i="1" s="1"/>
  <c r="I2096" i="1"/>
  <c r="G2096" i="1"/>
  <c r="O2095" i="1"/>
  <c r="P2095" i="1" s="1"/>
  <c r="Q2095" i="1" s="1"/>
  <c r="S2095" i="1" s="1"/>
  <c r="J2095" i="1" s="1"/>
  <c r="I2095" i="1"/>
  <c r="G2095" i="1"/>
  <c r="O2094" i="1"/>
  <c r="P2094" i="1" s="1"/>
  <c r="Q2094" i="1" s="1"/>
  <c r="S2094" i="1" s="1"/>
  <c r="J2094" i="1" s="1"/>
  <c r="I2094" i="1"/>
  <c r="G2094" i="1"/>
  <c r="O2093" i="1"/>
  <c r="P2093" i="1" s="1"/>
  <c r="Q2093" i="1" s="1"/>
  <c r="S2093" i="1" s="1"/>
  <c r="J2093" i="1" s="1"/>
  <c r="I2093" i="1"/>
  <c r="G2093" i="1"/>
  <c r="O2092" i="1"/>
  <c r="P2092" i="1" s="1"/>
  <c r="Q2092" i="1" s="1"/>
  <c r="S2092" i="1" s="1"/>
  <c r="J2092" i="1" s="1"/>
  <c r="I2092" i="1"/>
  <c r="G2092" i="1"/>
  <c r="O2091" i="1"/>
  <c r="P2091" i="1" s="1"/>
  <c r="Q2091" i="1" s="1"/>
  <c r="S2091" i="1" s="1"/>
  <c r="J2091" i="1" s="1"/>
  <c r="I2091" i="1"/>
  <c r="G2091" i="1"/>
  <c r="O2090" i="1"/>
  <c r="P2090" i="1" s="1"/>
  <c r="Q2090" i="1" s="1"/>
  <c r="S2090" i="1" s="1"/>
  <c r="J2090" i="1" s="1"/>
  <c r="I2090" i="1"/>
  <c r="G2090" i="1"/>
  <c r="O2089" i="1"/>
  <c r="P2089" i="1" s="1"/>
  <c r="Q2089" i="1" s="1"/>
  <c r="S2089" i="1" s="1"/>
  <c r="J2089" i="1" s="1"/>
  <c r="I2089" i="1"/>
  <c r="G2089" i="1"/>
  <c r="O2088" i="1"/>
  <c r="P2088" i="1" s="1"/>
  <c r="Q2088" i="1" s="1"/>
  <c r="S2088" i="1" s="1"/>
  <c r="J2088" i="1" s="1"/>
  <c r="I2088" i="1"/>
  <c r="G2088" i="1"/>
  <c r="O2087" i="1"/>
  <c r="P2087" i="1" s="1"/>
  <c r="Q2087" i="1" s="1"/>
  <c r="S2087" i="1" s="1"/>
  <c r="J2087" i="1" s="1"/>
  <c r="I2087" i="1"/>
  <c r="G2087" i="1"/>
  <c r="O2086" i="1"/>
  <c r="P2086" i="1" s="1"/>
  <c r="Q2086" i="1" s="1"/>
  <c r="S2086" i="1" s="1"/>
  <c r="J2086" i="1" s="1"/>
  <c r="I2086" i="1"/>
  <c r="G2086" i="1"/>
  <c r="O2085" i="1"/>
  <c r="P2085" i="1" s="1"/>
  <c r="Q2085" i="1" s="1"/>
  <c r="S2085" i="1" s="1"/>
  <c r="J2085" i="1" s="1"/>
  <c r="I2085" i="1"/>
  <c r="G2085" i="1"/>
  <c r="O2084" i="1"/>
  <c r="P2084" i="1" s="1"/>
  <c r="Q2084" i="1" s="1"/>
  <c r="S2084" i="1" s="1"/>
  <c r="J2084" i="1" s="1"/>
  <c r="I2084" i="1"/>
  <c r="G2084" i="1"/>
  <c r="O2083" i="1"/>
  <c r="P2083" i="1" s="1"/>
  <c r="Q2083" i="1" s="1"/>
  <c r="S2083" i="1" s="1"/>
  <c r="J2083" i="1" s="1"/>
  <c r="I2083" i="1"/>
  <c r="G2083" i="1"/>
  <c r="O2082" i="1"/>
  <c r="P2082" i="1" s="1"/>
  <c r="Q2082" i="1" s="1"/>
  <c r="S2082" i="1" s="1"/>
  <c r="J2082" i="1" s="1"/>
  <c r="I2082" i="1"/>
  <c r="G2082" i="1"/>
  <c r="O2081" i="1"/>
  <c r="P2081" i="1" s="1"/>
  <c r="Q2081" i="1" s="1"/>
  <c r="S2081" i="1" s="1"/>
  <c r="J2081" i="1" s="1"/>
  <c r="I2081" i="1"/>
  <c r="G2081" i="1"/>
  <c r="O2080" i="1"/>
  <c r="P2080" i="1" s="1"/>
  <c r="Q2080" i="1" s="1"/>
  <c r="S2080" i="1" s="1"/>
  <c r="J2080" i="1" s="1"/>
  <c r="I2080" i="1"/>
  <c r="G2080" i="1"/>
  <c r="O2079" i="1"/>
  <c r="P2079" i="1" s="1"/>
  <c r="Q2079" i="1" s="1"/>
  <c r="S2079" i="1" s="1"/>
  <c r="J2079" i="1" s="1"/>
  <c r="I2079" i="1"/>
  <c r="G2079" i="1"/>
  <c r="O2078" i="1"/>
  <c r="P2078" i="1" s="1"/>
  <c r="Q2078" i="1" s="1"/>
  <c r="S2078" i="1" s="1"/>
  <c r="J2078" i="1" s="1"/>
  <c r="I2078" i="1"/>
  <c r="G2078" i="1"/>
  <c r="O2077" i="1"/>
  <c r="P2077" i="1" s="1"/>
  <c r="Q2077" i="1" s="1"/>
  <c r="S2077" i="1" s="1"/>
  <c r="J2077" i="1" s="1"/>
  <c r="G2077" i="1"/>
  <c r="O2076" i="1"/>
  <c r="P2076" i="1" s="1"/>
  <c r="Q2076" i="1" s="1"/>
  <c r="S2076" i="1" s="1"/>
  <c r="J2076" i="1" s="1"/>
  <c r="I2076" i="1"/>
  <c r="G2076" i="1"/>
  <c r="O2075" i="1"/>
  <c r="P2075" i="1" s="1"/>
  <c r="Q2075" i="1" s="1"/>
  <c r="S2075" i="1" s="1"/>
  <c r="J2075" i="1" s="1"/>
  <c r="I2075" i="1"/>
  <c r="G2075" i="1"/>
  <c r="O2074" i="1"/>
  <c r="P2074" i="1" s="1"/>
  <c r="Q2074" i="1" s="1"/>
  <c r="S2074" i="1" s="1"/>
  <c r="J2074" i="1" s="1"/>
  <c r="I2074" i="1"/>
  <c r="G2074" i="1"/>
  <c r="O2073" i="1"/>
  <c r="P2073" i="1" s="1"/>
  <c r="Q2073" i="1" s="1"/>
  <c r="S2073" i="1" s="1"/>
  <c r="J2073" i="1" s="1"/>
  <c r="I2073" i="1"/>
  <c r="G2073" i="1"/>
  <c r="O2072" i="1"/>
  <c r="P2072" i="1" s="1"/>
  <c r="Q2072" i="1" s="1"/>
  <c r="S2072" i="1" s="1"/>
  <c r="J2072" i="1" s="1"/>
  <c r="I2072" i="1"/>
  <c r="G2072" i="1"/>
  <c r="O2071" i="1"/>
  <c r="P2071" i="1" s="1"/>
  <c r="Q2071" i="1" s="1"/>
  <c r="S2071" i="1" s="1"/>
  <c r="J2071" i="1" s="1"/>
  <c r="I2071" i="1"/>
  <c r="G2071" i="1"/>
  <c r="O2070" i="1"/>
  <c r="P2070" i="1" s="1"/>
  <c r="Q2070" i="1" s="1"/>
  <c r="S2070" i="1" s="1"/>
  <c r="J2070" i="1" s="1"/>
  <c r="I2070" i="1"/>
  <c r="G2070" i="1"/>
  <c r="O2069" i="1"/>
  <c r="P2069" i="1" s="1"/>
  <c r="Q2069" i="1" s="1"/>
  <c r="S2069" i="1" s="1"/>
  <c r="J2069" i="1" s="1"/>
  <c r="I2069" i="1"/>
  <c r="G2069" i="1"/>
  <c r="O2068" i="1"/>
  <c r="P2068" i="1" s="1"/>
  <c r="Q2068" i="1" s="1"/>
  <c r="S2068" i="1" s="1"/>
  <c r="J2068" i="1" s="1"/>
  <c r="I2068" i="1"/>
  <c r="G2068" i="1"/>
  <c r="O2067" i="1"/>
  <c r="P2067" i="1" s="1"/>
  <c r="Q2067" i="1" s="1"/>
  <c r="S2067" i="1" s="1"/>
  <c r="J2067" i="1" s="1"/>
  <c r="I2067" i="1"/>
  <c r="G2067" i="1"/>
  <c r="O2066" i="1"/>
  <c r="P2066" i="1" s="1"/>
  <c r="Q2066" i="1" s="1"/>
  <c r="S2066" i="1" s="1"/>
  <c r="J2066" i="1" s="1"/>
  <c r="I2066" i="1"/>
  <c r="G2066" i="1"/>
  <c r="O2065" i="1"/>
  <c r="P2065" i="1" s="1"/>
  <c r="Q2065" i="1" s="1"/>
  <c r="S2065" i="1" s="1"/>
  <c r="J2065" i="1" s="1"/>
  <c r="I2065" i="1"/>
  <c r="G2065" i="1"/>
  <c r="O2064" i="1"/>
  <c r="P2064" i="1" s="1"/>
  <c r="Q2064" i="1" s="1"/>
  <c r="S2064" i="1" s="1"/>
  <c r="J2064" i="1" s="1"/>
  <c r="I2064" i="1"/>
  <c r="G2064" i="1"/>
  <c r="O2063" i="1"/>
  <c r="P2063" i="1" s="1"/>
  <c r="Q2063" i="1" s="1"/>
  <c r="S2063" i="1" s="1"/>
  <c r="J2063" i="1" s="1"/>
  <c r="I2063" i="1"/>
  <c r="G2063" i="1"/>
  <c r="O2062" i="1"/>
  <c r="P2062" i="1" s="1"/>
  <c r="Q2062" i="1" s="1"/>
  <c r="S2062" i="1" s="1"/>
  <c r="J2062" i="1" s="1"/>
  <c r="I2062" i="1"/>
  <c r="G2062" i="1"/>
  <c r="O2061" i="1"/>
  <c r="P2061" i="1" s="1"/>
  <c r="Q2061" i="1" s="1"/>
  <c r="S2061" i="1" s="1"/>
  <c r="J2061" i="1" s="1"/>
  <c r="I2061" i="1"/>
  <c r="G2061" i="1"/>
  <c r="O2060" i="1"/>
  <c r="P2060" i="1" s="1"/>
  <c r="Q2060" i="1" s="1"/>
  <c r="S2060" i="1" s="1"/>
  <c r="J2060" i="1" s="1"/>
  <c r="I2060" i="1"/>
  <c r="G2060" i="1"/>
  <c r="O2059" i="1"/>
  <c r="P2059" i="1" s="1"/>
  <c r="Q2059" i="1" s="1"/>
  <c r="S2059" i="1" s="1"/>
  <c r="J2059" i="1" s="1"/>
  <c r="I2059" i="1"/>
  <c r="G2059" i="1"/>
  <c r="O2058" i="1"/>
  <c r="P2058" i="1" s="1"/>
  <c r="Q2058" i="1" s="1"/>
  <c r="S2058" i="1" s="1"/>
  <c r="J2058" i="1" s="1"/>
  <c r="I2058" i="1"/>
  <c r="G2058" i="1"/>
  <c r="O2057" i="1"/>
  <c r="P2057" i="1" s="1"/>
  <c r="Q2057" i="1" s="1"/>
  <c r="S2057" i="1" s="1"/>
  <c r="J2057" i="1" s="1"/>
  <c r="I2057" i="1"/>
  <c r="G2057" i="1"/>
  <c r="O2056" i="1"/>
  <c r="P2056" i="1" s="1"/>
  <c r="Q2056" i="1" s="1"/>
  <c r="S2056" i="1" s="1"/>
  <c r="J2056" i="1" s="1"/>
  <c r="I2056" i="1"/>
  <c r="G2056" i="1"/>
  <c r="O2055" i="1"/>
  <c r="P2055" i="1" s="1"/>
  <c r="Q2055" i="1" s="1"/>
  <c r="S2055" i="1" s="1"/>
  <c r="J2055" i="1" s="1"/>
  <c r="I2055" i="1"/>
  <c r="G2055" i="1"/>
  <c r="O2054" i="1"/>
  <c r="P2054" i="1" s="1"/>
  <c r="Q2054" i="1" s="1"/>
  <c r="S2054" i="1" s="1"/>
  <c r="J2054" i="1" s="1"/>
  <c r="I2054" i="1"/>
  <c r="G2054" i="1"/>
  <c r="O2053" i="1"/>
  <c r="P2053" i="1" s="1"/>
  <c r="Q2053" i="1" s="1"/>
  <c r="S2053" i="1" s="1"/>
  <c r="J2053" i="1" s="1"/>
  <c r="I2053" i="1"/>
  <c r="G2053" i="1"/>
  <c r="O2052" i="1"/>
  <c r="P2052" i="1" s="1"/>
  <c r="Q2052" i="1" s="1"/>
  <c r="S2052" i="1" s="1"/>
  <c r="J2052" i="1" s="1"/>
  <c r="I2052" i="1"/>
  <c r="G2052" i="1"/>
  <c r="O2051" i="1"/>
  <c r="P2051" i="1" s="1"/>
  <c r="Q2051" i="1" s="1"/>
  <c r="S2051" i="1" s="1"/>
  <c r="J2051" i="1" s="1"/>
  <c r="I2051" i="1"/>
  <c r="G2051" i="1"/>
  <c r="O2050" i="1"/>
  <c r="P2050" i="1" s="1"/>
  <c r="Q2050" i="1" s="1"/>
  <c r="S2050" i="1" s="1"/>
  <c r="J2050" i="1" s="1"/>
  <c r="G2050" i="1"/>
  <c r="O2049" i="1"/>
  <c r="P2049" i="1" s="1"/>
  <c r="Q2049" i="1" s="1"/>
  <c r="S2049" i="1" s="1"/>
  <c r="J2049" i="1" s="1"/>
  <c r="I2049" i="1"/>
  <c r="G2049" i="1"/>
  <c r="O2048" i="1"/>
  <c r="P2048" i="1" s="1"/>
  <c r="Q2048" i="1" s="1"/>
  <c r="S2048" i="1" s="1"/>
  <c r="J2048" i="1" s="1"/>
  <c r="I2048" i="1"/>
  <c r="G2048" i="1"/>
  <c r="O2047" i="1"/>
  <c r="P2047" i="1" s="1"/>
  <c r="Q2047" i="1" s="1"/>
  <c r="S2047" i="1" s="1"/>
  <c r="J2047" i="1" s="1"/>
  <c r="I2047" i="1"/>
  <c r="G2047" i="1"/>
  <c r="O2046" i="1"/>
  <c r="P2046" i="1" s="1"/>
  <c r="Q2046" i="1" s="1"/>
  <c r="S2046" i="1" s="1"/>
  <c r="J2046" i="1" s="1"/>
  <c r="I2046" i="1"/>
  <c r="G2046" i="1"/>
  <c r="O2045" i="1"/>
  <c r="P2045" i="1" s="1"/>
  <c r="Q2045" i="1" s="1"/>
  <c r="S2045" i="1" s="1"/>
  <c r="J2045" i="1" s="1"/>
  <c r="G2045" i="1"/>
  <c r="O2044" i="1"/>
  <c r="P2044" i="1" s="1"/>
  <c r="Q2044" i="1" s="1"/>
  <c r="S2044" i="1" s="1"/>
  <c r="J2044" i="1" s="1"/>
  <c r="I2044" i="1"/>
  <c r="G2044" i="1"/>
  <c r="O2043" i="1"/>
  <c r="P2043" i="1" s="1"/>
  <c r="Q2043" i="1" s="1"/>
  <c r="S2043" i="1" s="1"/>
  <c r="J2043" i="1" s="1"/>
  <c r="G2043" i="1"/>
  <c r="O2042" i="1"/>
  <c r="P2042" i="1" s="1"/>
  <c r="Q2042" i="1" s="1"/>
  <c r="S2042" i="1" s="1"/>
  <c r="J2042" i="1" s="1"/>
  <c r="I2042" i="1"/>
  <c r="G2042" i="1"/>
  <c r="O2041" i="1"/>
  <c r="P2041" i="1" s="1"/>
  <c r="Q2041" i="1" s="1"/>
  <c r="S2041" i="1" s="1"/>
  <c r="J2041" i="1" s="1"/>
  <c r="I2041" i="1"/>
  <c r="G2041" i="1"/>
  <c r="O2040" i="1"/>
  <c r="P2040" i="1" s="1"/>
  <c r="Q2040" i="1" s="1"/>
  <c r="S2040" i="1" s="1"/>
  <c r="J2040" i="1" s="1"/>
  <c r="G2040" i="1"/>
  <c r="O2039" i="1"/>
  <c r="P2039" i="1" s="1"/>
  <c r="Q2039" i="1" s="1"/>
  <c r="S2039" i="1" s="1"/>
  <c r="J2039" i="1" s="1"/>
  <c r="I2039" i="1"/>
  <c r="G2039" i="1"/>
  <c r="O2038" i="1"/>
  <c r="P2038" i="1" s="1"/>
  <c r="Q2038" i="1" s="1"/>
  <c r="S2038" i="1" s="1"/>
  <c r="J2038" i="1" s="1"/>
  <c r="I2038" i="1"/>
  <c r="G2038" i="1"/>
  <c r="O2037" i="1"/>
  <c r="P2037" i="1" s="1"/>
  <c r="Q2037" i="1" s="1"/>
  <c r="S2037" i="1" s="1"/>
  <c r="J2037" i="1" s="1"/>
  <c r="I2037" i="1"/>
  <c r="G2037" i="1"/>
  <c r="O2036" i="1"/>
  <c r="P2036" i="1" s="1"/>
  <c r="Q2036" i="1" s="1"/>
  <c r="S2036" i="1" s="1"/>
  <c r="J2036" i="1" s="1"/>
  <c r="I2036" i="1"/>
  <c r="G2036" i="1"/>
  <c r="O2035" i="1"/>
  <c r="P2035" i="1" s="1"/>
  <c r="Q2035" i="1" s="1"/>
  <c r="S2035" i="1" s="1"/>
  <c r="J2035" i="1" s="1"/>
  <c r="I2035" i="1"/>
  <c r="G2035" i="1"/>
  <c r="O2034" i="1"/>
  <c r="P2034" i="1" s="1"/>
  <c r="Q2034" i="1" s="1"/>
  <c r="S2034" i="1" s="1"/>
  <c r="J2034" i="1" s="1"/>
  <c r="G2034" i="1"/>
  <c r="O2033" i="1"/>
  <c r="P2033" i="1" s="1"/>
  <c r="Q2033" i="1" s="1"/>
  <c r="S2033" i="1" s="1"/>
  <c r="J2033" i="1" s="1"/>
  <c r="I2033" i="1"/>
  <c r="G2033" i="1"/>
  <c r="O2032" i="1"/>
  <c r="P2032" i="1" s="1"/>
  <c r="Q2032" i="1" s="1"/>
  <c r="S2032" i="1" s="1"/>
  <c r="J2032" i="1" s="1"/>
  <c r="I2032" i="1"/>
  <c r="G2032" i="1"/>
  <c r="O2031" i="1"/>
  <c r="P2031" i="1" s="1"/>
  <c r="Q2031" i="1" s="1"/>
  <c r="S2031" i="1" s="1"/>
  <c r="J2031" i="1" s="1"/>
  <c r="I2031" i="1"/>
  <c r="G2031" i="1"/>
  <c r="O2030" i="1"/>
  <c r="P2030" i="1" s="1"/>
  <c r="Q2030" i="1" s="1"/>
  <c r="S2030" i="1" s="1"/>
  <c r="J2030" i="1" s="1"/>
  <c r="I2030" i="1"/>
  <c r="G2030" i="1"/>
  <c r="O2029" i="1"/>
  <c r="P2029" i="1" s="1"/>
  <c r="Q2029" i="1" s="1"/>
  <c r="S2029" i="1" s="1"/>
  <c r="J2029" i="1" s="1"/>
  <c r="I2029" i="1"/>
  <c r="G2029" i="1"/>
  <c r="O2028" i="1"/>
  <c r="P2028" i="1" s="1"/>
  <c r="Q2028" i="1" s="1"/>
  <c r="S2028" i="1" s="1"/>
  <c r="J2028" i="1" s="1"/>
  <c r="I2028" i="1"/>
  <c r="G2028" i="1"/>
  <c r="O2027" i="1"/>
  <c r="P2027" i="1" s="1"/>
  <c r="Q2027" i="1" s="1"/>
  <c r="S2027" i="1" s="1"/>
  <c r="J2027" i="1" s="1"/>
  <c r="I2027" i="1"/>
  <c r="G2027" i="1"/>
  <c r="O2026" i="1"/>
  <c r="P2026" i="1" s="1"/>
  <c r="Q2026" i="1" s="1"/>
  <c r="S2026" i="1" s="1"/>
  <c r="J2026" i="1" s="1"/>
  <c r="I2026" i="1"/>
  <c r="G2026" i="1"/>
  <c r="O2025" i="1"/>
  <c r="P2025" i="1" s="1"/>
  <c r="Q2025" i="1" s="1"/>
  <c r="S2025" i="1" s="1"/>
  <c r="J2025" i="1" s="1"/>
  <c r="I2025" i="1"/>
  <c r="G2025" i="1"/>
  <c r="O2024" i="1"/>
  <c r="P2024" i="1" s="1"/>
  <c r="Q2024" i="1" s="1"/>
  <c r="S2024" i="1" s="1"/>
  <c r="J2024" i="1" s="1"/>
  <c r="I2024" i="1"/>
  <c r="G2024" i="1"/>
  <c r="O2023" i="1"/>
  <c r="P2023" i="1" s="1"/>
  <c r="Q2023" i="1" s="1"/>
  <c r="S2023" i="1" s="1"/>
  <c r="J2023" i="1" s="1"/>
  <c r="I2023" i="1"/>
  <c r="G2023" i="1"/>
  <c r="O2022" i="1"/>
  <c r="P2022" i="1" s="1"/>
  <c r="Q2022" i="1" s="1"/>
  <c r="S2022" i="1" s="1"/>
  <c r="J2022" i="1" s="1"/>
  <c r="I2022" i="1"/>
  <c r="G2022" i="1"/>
  <c r="O2021" i="1"/>
  <c r="P2021" i="1" s="1"/>
  <c r="Q2021" i="1" s="1"/>
  <c r="S2021" i="1" s="1"/>
  <c r="J2021" i="1" s="1"/>
  <c r="I2021" i="1"/>
  <c r="G2021" i="1"/>
  <c r="O2020" i="1"/>
  <c r="P2020" i="1" s="1"/>
  <c r="Q2020" i="1" s="1"/>
  <c r="S2020" i="1" s="1"/>
  <c r="J2020" i="1" s="1"/>
  <c r="I2020" i="1"/>
  <c r="G2020" i="1"/>
  <c r="O2019" i="1"/>
  <c r="P2019" i="1" s="1"/>
  <c r="Q2019" i="1" s="1"/>
  <c r="S2019" i="1" s="1"/>
  <c r="J2019" i="1" s="1"/>
  <c r="I2019" i="1"/>
  <c r="G2019" i="1"/>
  <c r="O2018" i="1"/>
  <c r="P2018" i="1" s="1"/>
  <c r="Q2018" i="1" s="1"/>
  <c r="S2018" i="1" s="1"/>
  <c r="J2018" i="1" s="1"/>
  <c r="I2018" i="1"/>
  <c r="G2018" i="1"/>
  <c r="O2017" i="1"/>
  <c r="P2017" i="1" s="1"/>
  <c r="Q2017" i="1" s="1"/>
  <c r="S2017" i="1" s="1"/>
  <c r="J2017" i="1" s="1"/>
  <c r="I2017" i="1"/>
  <c r="G2017" i="1"/>
  <c r="O2016" i="1"/>
  <c r="P2016" i="1" s="1"/>
  <c r="Q2016" i="1" s="1"/>
  <c r="S2016" i="1" s="1"/>
  <c r="J2016" i="1" s="1"/>
  <c r="I2016" i="1"/>
  <c r="G2016" i="1"/>
  <c r="O2015" i="1"/>
  <c r="P2015" i="1" s="1"/>
  <c r="Q2015" i="1" s="1"/>
  <c r="S2015" i="1" s="1"/>
  <c r="J2015" i="1" s="1"/>
  <c r="I2015" i="1"/>
  <c r="G2015" i="1"/>
  <c r="O2014" i="1"/>
  <c r="P2014" i="1" s="1"/>
  <c r="Q2014" i="1" s="1"/>
  <c r="S2014" i="1" s="1"/>
  <c r="J2014" i="1" s="1"/>
  <c r="G2014" i="1"/>
  <c r="O2013" i="1"/>
  <c r="P2013" i="1" s="1"/>
  <c r="Q2013" i="1" s="1"/>
  <c r="S2013" i="1" s="1"/>
  <c r="J2013" i="1" s="1"/>
  <c r="I2013" i="1"/>
  <c r="G2013" i="1"/>
  <c r="O2012" i="1"/>
  <c r="P2012" i="1" s="1"/>
  <c r="Q2012" i="1" s="1"/>
  <c r="S2012" i="1" s="1"/>
  <c r="J2012" i="1" s="1"/>
  <c r="I2012" i="1"/>
  <c r="G2012" i="1"/>
  <c r="O2011" i="1"/>
  <c r="P2011" i="1" s="1"/>
  <c r="Q2011" i="1" s="1"/>
  <c r="S2011" i="1" s="1"/>
  <c r="J2011" i="1" s="1"/>
  <c r="I2011" i="1"/>
  <c r="G2011" i="1"/>
  <c r="O2010" i="1"/>
  <c r="P2010" i="1" s="1"/>
  <c r="Q2010" i="1" s="1"/>
  <c r="S2010" i="1" s="1"/>
  <c r="J2010" i="1" s="1"/>
  <c r="I2010" i="1"/>
  <c r="G2010" i="1"/>
  <c r="O2009" i="1"/>
  <c r="P2009" i="1" s="1"/>
  <c r="Q2009" i="1" s="1"/>
  <c r="S2009" i="1" s="1"/>
  <c r="J2009" i="1" s="1"/>
  <c r="I2009" i="1"/>
  <c r="G2009" i="1"/>
  <c r="B2009" i="1"/>
  <c r="B2010" i="1" s="1"/>
  <c r="B2011" i="1" s="1"/>
  <c r="B2012" i="1" s="1"/>
  <c r="B2013" i="1" s="1"/>
  <c r="B2014" i="1" s="1"/>
  <c r="B2015" i="1" s="1"/>
  <c r="B2016" i="1" s="1"/>
  <c r="B2017" i="1" s="1"/>
  <c r="B2018" i="1" s="1"/>
  <c r="B2019" i="1" s="1"/>
  <c r="B2020" i="1" s="1"/>
  <c r="B2021" i="1" s="1"/>
  <c r="B2022" i="1" s="1"/>
  <c r="B2023" i="1" s="1"/>
  <c r="B2024" i="1" s="1"/>
  <c r="B2025" i="1" s="1"/>
  <c r="B2026" i="1" s="1"/>
  <c r="B2027" i="1" s="1"/>
  <c r="B2028" i="1" s="1"/>
  <c r="B2029" i="1" s="1"/>
  <c r="B2030" i="1" s="1"/>
  <c r="B2031" i="1" s="1"/>
  <c r="B2032" i="1" s="1"/>
  <c r="B2033" i="1" s="1"/>
  <c r="B2034" i="1" s="1"/>
  <c r="B2035" i="1" s="1"/>
  <c r="B2036" i="1" s="1"/>
  <c r="B2037" i="1" s="1"/>
  <c r="B2038" i="1" s="1"/>
  <c r="B2039" i="1" s="1"/>
  <c r="B2040" i="1" s="1"/>
  <c r="B2041" i="1" s="1"/>
  <c r="B2042" i="1" s="1"/>
  <c r="B2043" i="1" s="1"/>
  <c r="B2044" i="1" s="1"/>
  <c r="B2045" i="1" s="1"/>
  <c r="B2046" i="1" s="1"/>
  <c r="B2047" i="1" s="1"/>
  <c r="B2048" i="1" s="1"/>
  <c r="B2049" i="1" s="1"/>
  <c r="B2050" i="1" s="1"/>
  <c r="B2051" i="1" s="1"/>
  <c r="B2052" i="1" s="1"/>
  <c r="B2053" i="1" s="1"/>
  <c r="B2054" i="1" s="1"/>
  <c r="B2055" i="1" s="1"/>
  <c r="B2056" i="1" s="1"/>
  <c r="B2057" i="1" s="1"/>
  <c r="B2058" i="1" s="1"/>
  <c r="B2059" i="1" s="1"/>
  <c r="B2060" i="1" s="1"/>
  <c r="B2061" i="1" s="1"/>
  <c r="B2062" i="1" s="1"/>
  <c r="B2063" i="1" s="1"/>
  <c r="B2064" i="1" s="1"/>
  <c r="B2065" i="1" s="1"/>
  <c r="B2066" i="1" s="1"/>
  <c r="B2067" i="1" s="1"/>
  <c r="B2068" i="1" s="1"/>
  <c r="B2069" i="1" s="1"/>
  <c r="B2070" i="1" s="1"/>
  <c r="B2071" i="1" s="1"/>
  <c r="B2072" i="1" s="1"/>
  <c r="B2073" i="1" s="1"/>
  <c r="B2074" i="1" s="1"/>
  <c r="B2075" i="1" s="1"/>
  <c r="B2076" i="1" s="1"/>
  <c r="B2077" i="1" s="1"/>
  <c r="B2078" i="1" s="1"/>
  <c r="B2079" i="1" s="1"/>
  <c r="B2080" i="1" s="1"/>
  <c r="B2081" i="1" s="1"/>
  <c r="B2082" i="1" s="1"/>
  <c r="B2083" i="1" s="1"/>
  <c r="B2084" i="1" s="1"/>
  <c r="B2085" i="1" s="1"/>
  <c r="B2086" i="1" s="1"/>
  <c r="B2087" i="1" s="1"/>
  <c r="B2088" i="1" s="1"/>
  <c r="B2089" i="1" s="1"/>
  <c r="B2090" i="1" s="1"/>
  <c r="B2091" i="1" s="1"/>
  <c r="B2092" i="1" s="1"/>
  <c r="B2093" i="1" s="1"/>
  <c r="B2094" i="1" s="1"/>
  <c r="B2095" i="1" s="1"/>
  <c r="B2096" i="1" s="1"/>
  <c r="B2097" i="1" s="1"/>
  <c r="B2098" i="1" s="1"/>
  <c r="B2099" i="1" s="1"/>
  <c r="B2100" i="1" s="1"/>
  <c r="B2101" i="1" s="1"/>
  <c r="B2102" i="1" s="1"/>
  <c r="B2103" i="1" s="1"/>
  <c r="B2104" i="1" s="1"/>
  <c r="B2105" i="1" s="1"/>
  <c r="B2106" i="1" s="1"/>
  <c r="B2107" i="1" s="1"/>
  <c r="B2108" i="1" s="1"/>
  <c r="B2109" i="1" s="1"/>
  <c r="B2110" i="1" s="1"/>
  <c r="B2111" i="1" s="1"/>
  <c r="B2112" i="1" s="1"/>
  <c r="B2113" i="1" s="1"/>
  <c r="B2114" i="1" s="1"/>
  <c r="B2115" i="1" s="1"/>
  <c r="B2116" i="1" s="1"/>
  <c r="B2117" i="1" s="1"/>
  <c r="B2118" i="1" s="1"/>
  <c r="B2119" i="1" s="1"/>
  <c r="B2120" i="1" s="1"/>
  <c r="B2121" i="1" s="1"/>
  <c r="B2122" i="1" s="1"/>
  <c r="B2123" i="1" s="1"/>
  <c r="B2124" i="1" s="1"/>
  <c r="B2125" i="1" s="1"/>
  <c r="B2126" i="1" s="1"/>
  <c r="B2127" i="1" s="1"/>
  <c r="B2128" i="1" s="1"/>
  <c r="B2129" i="1" s="1"/>
  <c r="B2130" i="1" s="1"/>
  <c r="B2131" i="1" s="1"/>
  <c r="B2132" i="1" s="1"/>
  <c r="B2133" i="1" s="1"/>
  <c r="B2134" i="1" s="1"/>
  <c r="B2135" i="1" s="1"/>
  <c r="B2136" i="1" s="1"/>
  <c r="B2137" i="1" s="1"/>
  <c r="B2138" i="1" s="1"/>
  <c r="B2139" i="1" s="1"/>
  <c r="B2140" i="1" s="1"/>
  <c r="B2141" i="1" s="1"/>
  <c r="B2142" i="1" s="1"/>
  <c r="B2143" i="1" s="1"/>
  <c r="B2144" i="1" s="1"/>
  <c r="B2145" i="1" s="1"/>
  <c r="B2146" i="1" s="1"/>
  <c r="B2147" i="1" s="1"/>
  <c r="B2148" i="1" s="1"/>
  <c r="B2149" i="1" s="1"/>
  <c r="B2150" i="1" s="1"/>
  <c r="B2151" i="1" s="1"/>
  <c r="B2152" i="1" s="1"/>
  <c r="B2153" i="1" s="1"/>
  <c r="B2154" i="1" s="1"/>
  <c r="B2155" i="1" s="1"/>
  <c r="B2156" i="1" s="1"/>
  <c r="B2157" i="1" s="1"/>
  <c r="B2158" i="1" s="1"/>
  <c r="B2159" i="1" s="1"/>
  <c r="B2160" i="1" s="1"/>
  <c r="B2161" i="1" s="1"/>
  <c r="B2162" i="1" s="1"/>
  <c r="B2163" i="1" s="1"/>
  <c r="B2164" i="1" s="1"/>
  <c r="B2165" i="1" s="1"/>
  <c r="B2166" i="1" s="1"/>
  <c r="B2167" i="1" s="1"/>
  <c r="B2168" i="1" s="1"/>
  <c r="B2169" i="1" s="1"/>
  <c r="B2170" i="1" s="1"/>
  <c r="B2171" i="1" s="1"/>
  <c r="B2172" i="1" s="1"/>
  <c r="B2173" i="1" s="1"/>
  <c r="B2174" i="1" s="1"/>
  <c r="B2175" i="1" s="1"/>
  <c r="B2176" i="1" s="1"/>
  <c r="B2177" i="1" s="1"/>
  <c r="B2178" i="1" s="1"/>
  <c r="B2179" i="1" s="1"/>
  <c r="B2180" i="1" s="1"/>
  <c r="B2181" i="1" s="1"/>
  <c r="B2182" i="1" s="1"/>
  <c r="B2183" i="1" s="1"/>
  <c r="B2184" i="1" s="1"/>
  <c r="B2185" i="1" s="1"/>
  <c r="B2186" i="1" s="1"/>
  <c r="B2187" i="1" s="1"/>
  <c r="B2188" i="1" s="1"/>
  <c r="B2189" i="1" s="1"/>
  <c r="B2190" i="1" s="1"/>
  <c r="B2191" i="1" s="1"/>
  <c r="B2192" i="1" s="1"/>
  <c r="B2193" i="1" s="1"/>
  <c r="B2194" i="1" s="1"/>
  <c r="B2195" i="1" s="1"/>
  <c r="B2196" i="1" s="1"/>
  <c r="B2197" i="1" s="1"/>
  <c r="B2198" i="1" s="1"/>
  <c r="B2199" i="1" s="1"/>
  <c r="B2200" i="1" s="1"/>
  <c r="B2201" i="1" s="1"/>
  <c r="B2202" i="1" s="1"/>
  <c r="B2203" i="1" s="1"/>
  <c r="B2204" i="1" s="1"/>
  <c r="B2205" i="1" s="1"/>
  <c r="B2206" i="1" s="1"/>
  <c r="B2207" i="1" s="1"/>
  <c r="B2208" i="1" s="1"/>
  <c r="B2209" i="1" s="1"/>
  <c r="B2210" i="1" s="1"/>
  <c r="B2211" i="1" s="1"/>
  <c r="B2212" i="1" s="1"/>
  <c r="B2213" i="1" s="1"/>
  <c r="B2214" i="1" s="1"/>
  <c r="B2215" i="1" s="1"/>
  <c r="B2216" i="1" s="1"/>
  <c r="B2217" i="1" s="1"/>
  <c r="B2218" i="1" s="1"/>
  <c r="B2219" i="1" s="1"/>
  <c r="B2220" i="1" s="1"/>
  <c r="B2221" i="1" s="1"/>
  <c r="B2222" i="1" s="1"/>
  <c r="B2223" i="1" s="1"/>
  <c r="B2224" i="1" s="1"/>
  <c r="B2225" i="1" s="1"/>
  <c r="B2226" i="1" s="1"/>
  <c r="B2227" i="1" s="1"/>
  <c r="B2228" i="1" s="1"/>
  <c r="B2229" i="1" s="1"/>
  <c r="A2009" i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O2008" i="1"/>
  <c r="P2008" i="1" s="1"/>
  <c r="Q2008" i="1" s="1"/>
  <c r="S2008" i="1" s="1"/>
  <c r="J2008" i="1" s="1"/>
  <c r="I2008" i="1"/>
  <c r="G2008" i="1"/>
  <c r="Y2007" i="1"/>
  <c r="Y2005" i="1"/>
  <c r="Y2004" i="1"/>
  <c r="O2004" i="1"/>
  <c r="P2004" i="1" s="1"/>
  <c r="Q2004" i="1" s="1"/>
  <c r="S2004" i="1" s="1"/>
  <c r="Y2003" i="1"/>
  <c r="O2003" i="1"/>
  <c r="P2003" i="1" s="1"/>
  <c r="Q2003" i="1" s="1"/>
  <c r="S2003" i="1" s="1"/>
  <c r="Y2002" i="1"/>
  <c r="O2002" i="1"/>
  <c r="P2002" i="1" s="1"/>
  <c r="Q2002" i="1" s="1"/>
  <c r="S2002" i="1" s="1"/>
  <c r="Y2001" i="1"/>
  <c r="O2001" i="1"/>
  <c r="P2001" i="1" s="1"/>
  <c r="Q2001" i="1" s="1"/>
  <c r="S2001" i="1" s="1"/>
  <c r="O2000" i="1"/>
  <c r="P2000" i="1" s="1"/>
  <c r="Q2000" i="1" s="1"/>
  <c r="S2000" i="1" s="1"/>
  <c r="J2000" i="1" s="1"/>
  <c r="I2000" i="1"/>
  <c r="G2000" i="1"/>
  <c r="O1999" i="1"/>
  <c r="P1999" i="1" s="1"/>
  <c r="Q1999" i="1" s="1"/>
  <c r="S1999" i="1" s="1"/>
  <c r="J1999" i="1" s="1"/>
  <c r="I1999" i="1"/>
  <c r="G1999" i="1"/>
  <c r="O1998" i="1"/>
  <c r="P1998" i="1" s="1"/>
  <c r="Q1998" i="1" s="1"/>
  <c r="S1998" i="1" s="1"/>
  <c r="J1998" i="1" s="1"/>
  <c r="I1998" i="1"/>
  <c r="G1998" i="1"/>
  <c r="O1997" i="1"/>
  <c r="P1997" i="1" s="1"/>
  <c r="Q1997" i="1" s="1"/>
  <c r="S1997" i="1" s="1"/>
  <c r="J1997" i="1" s="1"/>
  <c r="I1997" i="1"/>
  <c r="G1997" i="1"/>
  <c r="O1996" i="1"/>
  <c r="P1996" i="1" s="1"/>
  <c r="Q1996" i="1" s="1"/>
  <c r="S1996" i="1" s="1"/>
  <c r="J1996" i="1" s="1"/>
  <c r="I1996" i="1"/>
  <c r="G1996" i="1"/>
  <c r="B1996" i="1"/>
  <c r="B1997" i="1" s="1"/>
  <c r="B1998" i="1" s="1"/>
  <c r="B1999" i="1" s="1"/>
  <c r="B2000" i="1" s="1"/>
  <c r="O1995" i="1"/>
  <c r="P1995" i="1" s="1"/>
  <c r="Q1995" i="1" s="1"/>
  <c r="S1995" i="1" s="1"/>
  <c r="J1995" i="1" s="1"/>
  <c r="I1995" i="1"/>
  <c r="G1995" i="1"/>
  <c r="B1995" i="1"/>
  <c r="O1994" i="1"/>
  <c r="P1994" i="1" s="1"/>
  <c r="Q1994" i="1" s="1"/>
  <c r="S1994" i="1" s="1"/>
  <c r="J1994" i="1" s="1"/>
  <c r="I1994" i="1"/>
  <c r="G1994" i="1"/>
  <c r="O1993" i="1"/>
  <c r="P1993" i="1" s="1"/>
  <c r="Q1993" i="1" s="1"/>
  <c r="S1993" i="1" s="1"/>
  <c r="J1993" i="1" s="1"/>
  <c r="I1993" i="1"/>
  <c r="G1993" i="1"/>
  <c r="O1992" i="1"/>
  <c r="P1992" i="1" s="1"/>
  <c r="Q1992" i="1" s="1"/>
  <c r="S1992" i="1" s="1"/>
  <c r="J1992" i="1" s="1"/>
  <c r="I1992" i="1"/>
  <c r="G1992" i="1"/>
  <c r="O1991" i="1"/>
  <c r="P1991" i="1" s="1"/>
  <c r="Q1991" i="1" s="1"/>
  <c r="S1991" i="1" s="1"/>
  <c r="J1991" i="1" s="1"/>
  <c r="I1991" i="1"/>
  <c r="G1991" i="1"/>
  <c r="O1990" i="1"/>
  <c r="P1990" i="1" s="1"/>
  <c r="Q1990" i="1" s="1"/>
  <c r="S1990" i="1" s="1"/>
  <c r="J1990" i="1" s="1"/>
  <c r="I1990" i="1"/>
  <c r="G1990" i="1"/>
  <c r="O1989" i="1"/>
  <c r="P1989" i="1" s="1"/>
  <c r="Q1989" i="1" s="1"/>
  <c r="S1989" i="1" s="1"/>
  <c r="J1989" i="1" s="1"/>
  <c r="I1989" i="1"/>
  <c r="G1989" i="1"/>
  <c r="O1988" i="1"/>
  <c r="P1988" i="1" s="1"/>
  <c r="Q1988" i="1" s="1"/>
  <c r="S1988" i="1" s="1"/>
  <c r="J1988" i="1" s="1"/>
  <c r="I1988" i="1"/>
  <c r="G1988" i="1"/>
  <c r="O1987" i="1"/>
  <c r="P1987" i="1" s="1"/>
  <c r="Q1987" i="1" s="1"/>
  <c r="S1987" i="1" s="1"/>
  <c r="J1987" i="1" s="1"/>
  <c r="I1987" i="1"/>
  <c r="G1987" i="1"/>
  <c r="O1986" i="1"/>
  <c r="P1986" i="1" s="1"/>
  <c r="Q1986" i="1" s="1"/>
  <c r="S1986" i="1" s="1"/>
  <c r="J1986" i="1" s="1"/>
  <c r="I1986" i="1"/>
  <c r="G1986" i="1"/>
  <c r="O1985" i="1"/>
  <c r="P1985" i="1" s="1"/>
  <c r="Q1985" i="1" s="1"/>
  <c r="S1985" i="1" s="1"/>
  <c r="J1985" i="1" s="1"/>
  <c r="I1985" i="1"/>
  <c r="G1985" i="1"/>
  <c r="O1984" i="1"/>
  <c r="P1984" i="1" s="1"/>
  <c r="Q1984" i="1" s="1"/>
  <c r="S1984" i="1" s="1"/>
  <c r="J1984" i="1" s="1"/>
  <c r="I1984" i="1"/>
  <c r="G1984" i="1"/>
  <c r="O1983" i="1"/>
  <c r="P1983" i="1" s="1"/>
  <c r="Q1983" i="1" s="1"/>
  <c r="S1983" i="1" s="1"/>
  <c r="J1983" i="1" s="1"/>
  <c r="I1983" i="1"/>
  <c r="G1983" i="1"/>
  <c r="O1982" i="1"/>
  <c r="P1982" i="1" s="1"/>
  <c r="Q1982" i="1" s="1"/>
  <c r="S1982" i="1" s="1"/>
  <c r="J1982" i="1" s="1"/>
  <c r="I1982" i="1"/>
  <c r="G1982" i="1"/>
  <c r="O1981" i="1"/>
  <c r="P1981" i="1" s="1"/>
  <c r="Q1981" i="1" s="1"/>
  <c r="S1981" i="1" s="1"/>
  <c r="J1981" i="1" s="1"/>
  <c r="I1981" i="1"/>
  <c r="G1981" i="1"/>
  <c r="O1980" i="1"/>
  <c r="P1980" i="1" s="1"/>
  <c r="Q1980" i="1" s="1"/>
  <c r="S1980" i="1" s="1"/>
  <c r="J1980" i="1" s="1"/>
  <c r="I1980" i="1"/>
  <c r="G1980" i="1"/>
  <c r="O1979" i="1"/>
  <c r="P1979" i="1" s="1"/>
  <c r="Q1979" i="1" s="1"/>
  <c r="S1979" i="1" s="1"/>
  <c r="J1979" i="1" s="1"/>
  <c r="I1979" i="1"/>
  <c r="G1979" i="1"/>
  <c r="O1978" i="1"/>
  <c r="P1978" i="1" s="1"/>
  <c r="Q1978" i="1" s="1"/>
  <c r="S1978" i="1" s="1"/>
  <c r="J1978" i="1" s="1"/>
  <c r="I1978" i="1"/>
  <c r="G1978" i="1"/>
  <c r="O1977" i="1"/>
  <c r="P1977" i="1" s="1"/>
  <c r="Q1977" i="1" s="1"/>
  <c r="S1977" i="1" s="1"/>
  <c r="J1977" i="1" s="1"/>
  <c r="I1977" i="1"/>
  <c r="G1977" i="1"/>
  <c r="O1976" i="1"/>
  <c r="P1976" i="1" s="1"/>
  <c r="Q1976" i="1" s="1"/>
  <c r="S1976" i="1" s="1"/>
  <c r="J1976" i="1" s="1"/>
  <c r="I1976" i="1"/>
  <c r="G1976" i="1"/>
  <c r="O1975" i="1"/>
  <c r="P1975" i="1" s="1"/>
  <c r="Q1975" i="1" s="1"/>
  <c r="S1975" i="1" s="1"/>
  <c r="J1975" i="1" s="1"/>
  <c r="I1975" i="1"/>
  <c r="G1975" i="1"/>
  <c r="O1974" i="1"/>
  <c r="P1974" i="1" s="1"/>
  <c r="Q1974" i="1" s="1"/>
  <c r="S1974" i="1" s="1"/>
  <c r="J1974" i="1" s="1"/>
  <c r="I1974" i="1"/>
  <c r="G1974" i="1"/>
  <c r="O1973" i="1"/>
  <c r="P1973" i="1" s="1"/>
  <c r="Q1973" i="1" s="1"/>
  <c r="S1973" i="1" s="1"/>
  <c r="J1973" i="1" s="1"/>
  <c r="I1973" i="1"/>
  <c r="G1973" i="1"/>
  <c r="O1972" i="1"/>
  <c r="P1972" i="1" s="1"/>
  <c r="Q1972" i="1" s="1"/>
  <c r="S1972" i="1" s="1"/>
  <c r="J1972" i="1" s="1"/>
  <c r="I1972" i="1"/>
  <c r="G1972" i="1"/>
  <c r="O1971" i="1"/>
  <c r="P1971" i="1" s="1"/>
  <c r="Q1971" i="1" s="1"/>
  <c r="S1971" i="1" s="1"/>
  <c r="J1971" i="1" s="1"/>
  <c r="I1971" i="1"/>
  <c r="G1971" i="1"/>
  <c r="O1970" i="1"/>
  <c r="P1970" i="1" s="1"/>
  <c r="Q1970" i="1" s="1"/>
  <c r="S1970" i="1" s="1"/>
  <c r="J1970" i="1" s="1"/>
  <c r="I1970" i="1"/>
  <c r="G1970" i="1"/>
  <c r="O1969" i="1"/>
  <c r="P1969" i="1" s="1"/>
  <c r="Q1969" i="1" s="1"/>
  <c r="S1969" i="1" s="1"/>
  <c r="J1969" i="1" s="1"/>
  <c r="I1969" i="1"/>
  <c r="G1969" i="1"/>
  <c r="O1968" i="1"/>
  <c r="P1968" i="1" s="1"/>
  <c r="Q1968" i="1" s="1"/>
  <c r="S1968" i="1" s="1"/>
  <c r="J1968" i="1" s="1"/>
  <c r="I1968" i="1"/>
  <c r="G1968" i="1"/>
  <c r="O1967" i="1"/>
  <c r="P1967" i="1" s="1"/>
  <c r="Q1967" i="1" s="1"/>
  <c r="S1967" i="1" s="1"/>
  <c r="J1967" i="1" s="1"/>
  <c r="I1967" i="1"/>
  <c r="G1967" i="1"/>
  <c r="O1966" i="1"/>
  <c r="P1966" i="1" s="1"/>
  <c r="Q1966" i="1" s="1"/>
  <c r="S1966" i="1" s="1"/>
  <c r="J1966" i="1" s="1"/>
  <c r="I1966" i="1"/>
  <c r="G1966" i="1"/>
  <c r="O1965" i="1"/>
  <c r="P1965" i="1" s="1"/>
  <c r="Q1965" i="1" s="1"/>
  <c r="S1965" i="1" s="1"/>
  <c r="J1965" i="1" s="1"/>
  <c r="I1965" i="1"/>
  <c r="G1965" i="1"/>
  <c r="O1964" i="1"/>
  <c r="P1964" i="1" s="1"/>
  <c r="Q1964" i="1" s="1"/>
  <c r="S1964" i="1" s="1"/>
  <c r="J1964" i="1" s="1"/>
  <c r="I1964" i="1"/>
  <c r="G1964" i="1"/>
  <c r="O1963" i="1"/>
  <c r="P1963" i="1" s="1"/>
  <c r="Q1963" i="1" s="1"/>
  <c r="S1963" i="1" s="1"/>
  <c r="J1963" i="1" s="1"/>
  <c r="I1963" i="1"/>
  <c r="G1963" i="1"/>
  <c r="O1962" i="1"/>
  <c r="P1962" i="1" s="1"/>
  <c r="Q1962" i="1" s="1"/>
  <c r="S1962" i="1" s="1"/>
  <c r="J1962" i="1" s="1"/>
  <c r="I1962" i="1"/>
  <c r="G1962" i="1"/>
  <c r="O1961" i="1"/>
  <c r="P1961" i="1" s="1"/>
  <c r="Q1961" i="1" s="1"/>
  <c r="S1961" i="1" s="1"/>
  <c r="J1961" i="1" s="1"/>
  <c r="I1961" i="1"/>
  <c r="G1961" i="1"/>
  <c r="O1960" i="1"/>
  <c r="P1960" i="1" s="1"/>
  <c r="Q1960" i="1" s="1"/>
  <c r="S1960" i="1" s="1"/>
  <c r="J1960" i="1" s="1"/>
  <c r="I1960" i="1"/>
  <c r="G1960" i="1"/>
  <c r="O1959" i="1"/>
  <c r="P1959" i="1" s="1"/>
  <c r="Q1959" i="1" s="1"/>
  <c r="S1959" i="1" s="1"/>
  <c r="J1959" i="1" s="1"/>
  <c r="I1959" i="1"/>
  <c r="G1959" i="1"/>
  <c r="O1958" i="1"/>
  <c r="P1958" i="1" s="1"/>
  <c r="Q1958" i="1" s="1"/>
  <c r="S1958" i="1" s="1"/>
  <c r="J1958" i="1" s="1"/>
  <c r="I1958" i="1"/>
  <c r="G1958" i="1"/>
  <c r="O1957" i="1"/>
  <c r="P1957" i="1" s="1"/>
  <c r="Q1957" i="1" s="1"/>
  <c r="S1957" i="1" s="1"/>
  <c r="J1957" i="1" s="1"/>
  <c r="I1957" i="1"/>
  <c r="G1957" i="1"/>
  <c r="O1956" i="1"/>
  <c r="P1956" i="1" s="1"/>
  <c r="Q1956" i="1" s="1"/>
  <c r="S1956" i="1" s="1"/>
  <c r="J1956" i="1" s="1"/>
  <c r="I1956" i="1"/>
  <c r="G1956" i="1"/>
  <c r="B1956" i="1"/>
  <c r="B1957" i="1" s="1"/>
  <c r="B1958" i="1" s="1"/>
  <c r="B1959" i="1" s="1"/>
  <c r="B1960" i="1" s="1"/>
  <c r="B1961" i="1" s="1"/>
  <c r="B1962" i="1" s="1"/>
  <c r="B1971" i="1" s="1"/>
  <c r="B1972" i="1" s="1"/>
  <c r="B1973" i="1" s="1"/>
  <c r="B1974" i="1" s="1"/>
  <c r="B1975" i="1" s="1"/>
  <c r="B1976" i="1" s="1"/>
  <c r="B1978" i="1" s="1"/>
  <c r="B1981" i="1" s="1"/>
  <c r="B1991" i="1" s="1"/>
  <c r="B1992" i="1" s="1"/>
  <c r="B1993" i="1" s="1"/>
  <c r="B1994" i="1" s="1"/>
  <c r="O1955" i="1"/>
  <c r="P1955" i="1" s="1"/>
  <c r="Q1955" i="1" s="1"/>
  <c r="S1955" i="1" s="1"/>
  <c r="J1955" i="1" s="1"/>
  <c r="I1955" i="1"/>
  <c r="G1955" i="1"/>
  <c r="O1954" i="1"/>
  <c r="P1954" i="1" s="1"/>
  <c r="Q1954" i="1" s="1"/>
  <c r="S1954" i="1" s="1"/>
  <c r="J1954" i="1" s="1"/>
  <c r="I1954" i="1"/>
  <c r="G1954" i="1"/>
  <c r="O1953" i="1"/>
  <c r="P1953" i="1" s="1"/>
  <c r="Q1953" i="1" s="1"/>
  <c r="S1953" i="1" s="1"/>
  <c r="J1953" i="1" s="1"/>
  <c r="I1953" i="1"/>
  <c r="G1953" i="1"/>
  <c r="O1952" i="1"/>
  <c r="P1952" i="1" s="1"/>
  <c r="Q1952" i="1" s="1"/>
  <c r="S1952" i="1" s="1"/>
  <c r="J1952" i="1" s="1"/>
  <c r="I1952" i="1"/>
  <c r="G1952" i="1"/>
  <c r="O1951" i="1"/>
  <c r="P1951" i="1" s="1"/>
  <c r="Q1951" i="1" s="1"/>
  <c r="S1951" i="1" s="1"/>
  <c r="J1951" i="1" s="1"/>
  <c r="I1951" i="1"/>
  <c r="G1951" i="1"/>
  <c r="O1950" i="1"/>
  <c r="P1950" i="1" s="1"/>
  <c r="Q1950" i="1" s="1"/>
  <c r="S1950" i="1" s="1"/>
  <c r="J1950" i="1" s="1"/>
  <c r="I1950" i="1"/>
  <c r="G1950" i="1"/>
  <c r="O1949" i="1"/>
  <c r="P1949" i="1" s="1"/>
  <c r="Q1949" i="1" s="1"/>
  <c r="S1949" i="1" s="1"/>
  <c r="J1949" i="1" s="1"/>
  <c r="I1949" i="1"/>
  <c r="G1949" i="1"/>
  <c r="O1948" i="1"/>
  <c r="P1948" i="1" s="1"/>
  <c r="Q1948" i="1" s="1"/>
  <c r="S1948" i="1" s="1"/>
  <c r="J1948" i="1" s="1"/>
  <c r="I1948" i="1"/>
  <c r="G1948" i="1"/>
  <c r="O1947" i="1"/>
  <c r="P1947" i="1" s="1"/>
  <c r="Q1947" i="1" s="1"/>
  <c r="S1947" i="1" s="1"/>
  <c r="J1947" i="1" s="1"/>
  <c r="I1947" i="1"/>
  <c r="G1947" i="1"/>
  <c r="O1946" i="1"/>
  <c r="P1946" i="1" s="1"/>
  <c r="Q1946" i="1" s="1"/>
  <c r="S1946" i="1" s="1"/>
  <c r="J1946" i="1" s="1"/>
  <c r="I1946" i="1"/>
  <c r="G1946" i="1"/>
  <c r="O1945" i="1"/>
  <c r="P1945" i="1" s="1"/>
  <c r="Q1945" i="1" s="1"/>
  <c r="S1945" i="1" s="1"/>
  <c r="J1945" i="1" s="1"/>
  <c r="I1945" i="1"/>
  <c r="G1945" i="1"/>
  <c r="O1944" i="1"/>
  <c r="P1944" i="1" s="1"/>
  <c r="Q1944" i="1" s="1"/>
  <c r="S1944" i="1" s="1"/>
  <c r="J1944" i="1" s="1"/>
  <c r="I1944" i="1"/>
  <c r="G1944" i="1"/>
  <c r="O1943" i="1"/>
  <c r="P1943" i="1" s="1"/>
  <c r="Q1943" i="1" s="1"/>
  <c r="S1943" i="1" s="1"/>
  <c r="J1943" i="1" s="1"/>
  <c r="I1943" i="1"/>
  <c r="G1943" i="1"/>
  <c r="O1942" i="1"/>
  <c r="P1942" i="1" s="1"/>
  <c r="Q1942" i="1" s="1"/>
  <c r="S1942" i="1" s="1"/>
  <c r="J1942" i="1" s="1"/>
  <c r="I1942" i="1"/>
  <c r="G1942" i="1"/>
  <c r="O1941" i="1"/>
  <c r="P1941" i="1" s="1"/>
  <c r="Q1941" i="1" s="1"/>
  <c r="S1941" i="1" s="1"/>
  <c r="J1941" i="1" s="1"/>
  <c r="I1941" i="1"/>
  <c r="G1941" i="1"/>
  <c r="O1940" i="1"/>
  <c r="P1940" i="1" s="1"/>
  <c r="Q1940" i="1" s="1"/>
  <c r="S1940" i="1" s="1"/>
  <c r="J1940" i="1" s="1"/>
  <c r="I1940" i="1"/>
  <c r="G1940" i="1"/>
  <c r="O1939" i="1"/>
  <c r="P1939" i="1" s="1"/>
  <c r="Q1939" i="1" s="1"/>
  <c r="S1939" i="1" s="1"/>
  <c r="J1939" i="1" s="1"/>
  <c r="I1939" i="1"/>
  <c r="G1939" i="1"/>
  <c r="O1938" i="1"/>
  <c r="P1938" i="1" s="1"/>
  <c r="Q1938" i="1" s="1"/>
  <c r="S1938" i="1" s="1"/>
  <c r="J1938" i="1" s="1"/>
  <c r="I1938" i="1"/>
  <c r="G1938" i="1"/>
  <c r="O1937" i="1"/>
  <c r="P1937" i="1" s="1"/>
  <c r="Q1937" i="1" s="1"/>
  <c r="S1937" i="1" s="1"/>
  <c r="J1937" i="1" s="1"/>
  <c r="I1937" i="1"/>
  <c r="G1937" i="1"/>
  <c r="O1936" i="1"/>
  <c r="P1936" i="1" s="1"/>
  <c r="Q1936" i="1" s="1"/>
  <c r="S1936" i="1" s="1"/>
  <c r="J1936" i="1" s="1"/>
  <c r="I1936" i="1"/>
  <c r="G1936" i="1"/>
  <c r="O1935" i="1"/>
  <c r="P1935" i="1" s="1"/>
  <c r="Q1935" i="1" s="1"/>
  <c r="S1935" i="1" s="1"/>
  <c r="J1935" i="1" s="1"/>
  <c r="I1935" i="1"/>
  <c r="G1935" i="1"/>
  <c r="O1934" i="1"/>
  <c r="P1934" i="1" s="1"/>
  <c r="Q1934" i="1" s="1"/>
  <c r="S1934" i="1" s="1"/>
  <c r="J1934" i="1" s="1"/>
  <c r="I1934" i="1"/>
  <c r="G1934" i="1"/>
  <c r="O1933" i="1"/>
  <c r="P1933" i="1" s="1"/>
  <c r="Q1933" i="1" s="1"/>
  <c r="S1933" i="1" s="1"/>
  <c r="J1933" i="1" s="1"/>
  <c r="I1933" i="1"/>
  <c r="G1933" i="1"/>
  <c r="O1932" i="1"/>
  <c r="P1932" i="1" s="1"/>
  <c r="Q1932" i="1" s="1"/>
  <c r="S1932" i="1" s="1"/>
  <c r="J1932" i="1" s="1"/>
  <c r="I1932" i="1"/>
  <c r="G1932" i="1"/>
  <c r="O1931" i="1"/>
  <c r="P1931" i="1" s="1"/>
  <c r="Q1931" i="1" s="1"/>
  <c r="S1931" i="1" s="1"/>
  <c r="J1931" i="1" s="1"/>
  <c r="I1931" i="1"/>
  <c r="G1931" i="1"/>
  <c r="O1930" i="1"/>
  <c r="P1930" i="1" s="1"/>
  <c r="Q1930" i="1" s="1"/>
  <c r="S1930" i="1" s="1"/>
  <c r="J1930" i="1" s="1"/>
  <c r="I1930" i="1"/>
  <c r="G1930" i="1"/>
  <c r="O1929" i="1"/>
  <c r="P1929" i="1" s="1"/>
  <c r="Q1929" i="1" s="1"/>
  <c r="S1929" i="1" s="1"/>
  <c r="J1929" i="1" s="1"/>
  <c r="I1929" i="1"/>
  <c r="G1929" i="1"/>
  <c r="O1928" i="1"/>
  <c r="P1928" i="1" s="1"/>
  <c r="Q1928" i="1" s="1"/>
  <c r="S1928" i="1" s="1"/>
  <c r="J1928" i="1" s="1"/>
  <c r="I1928" i="1"/>
  <c r="G1928" i="1"/>
  <c r="O1927" i="1"/>
  <c r="P1927" i="1" s="1"/>
  <c r="Q1927" i="1" s="1"/>
  <c r="S1927" i="1" s="1"/>
  <c r="J1927" i="1" s="1"/>
  <c r="I1927" i="1"/>
  <c r="G1927" i="1"/>
  <c r="O1926" i="1"/>
  <c r="P1926" i="1" s="1"/>
  <c r="Q1926" i="1" s="1"/>
  <c r="S1926" i="1" s="1"/>
  <c r="J1926" i="1" s="1"/>
  <c r="I1926" i="1"/>
  <c r="G1926" i="1"/>
  <c r="O1925" i="1"/>
  <c r="P1925" i="1" s="1"/>
  <c r="Q1925" i="1" s="1"/>
  <c r="S1925" i="1" s="1"/>
  <c r="J1925" i="1" s="1"/>
  <c r="I1925" i="1"/>
  <c r="G1925" i="1"/>
  <c r="B1925" i="1"/>
  <c r="B1926" i="1" s="1"/>
  <c r="B1927" i="1" s="1"/>
  <c r="O1924" i="1"/>
  <c r="P1924" i="1" s="1"/>
  <c r="Q1924" i="1" s="1"/>
  <c r="S1924" i="1" s="1"/>
  <c r="J1924" i="1" s="1"/>
  <c r="I1924" i="1"/>
  <c r="G1924" i="1"/>
  <c r="O1923" i="1"/>
  <c r="P1923" i="1" s="1"/>
  <c r="Q1923" i="1" s="1"/>
  <c r="S1923" i="1" s="1"/>
  <c r="J1923" i="1" s="1"/>
  <c r="I1923" i="1"/>
  <c r="G1923" i="1"/>
  <c r="O1922" i="1"/>
  <c r="P1922" i="1" s="1"/>
  <c r="Q1922" i="1" s="1"/>
  <c r="S1922" i="1" s="1"/>
  <c r="J1922" i="1" s="1"/>
  <c r="I1922" i="1"/>
  <c r="G1922" i="1"/>
  <c r="O1921" i="1"/>
  <c r="P1921" i="1" s="1"/>
  <c r="Q1921" i="1" s="1"/>
  <c r="S1921" i="1" s="1"/>
  <c r="J1921" i="1" s="1"/>
  <c r="I1921" i="1"/>
  <c r="G1921" i="1"/>
  <c r="O1920" i="1"/>
  <c r="P1920" i="1" s="1"/>
  <c r="Q1920" i="1" s="1"/>
  <c r="S1920" i="1" s="1"/>
  <c r="J1920" i="1" s="1"/>
  <c r="I1920" i="1"/>
  <c r="G1920" i="1"/>
  <c r="O1919" i="1"/>
  <c r="P1919" i="1" s="1"/>
  <c r="Q1919" i="1" s="1"/>
  <c r="S1919" i="1" s="1"/>
  <c r="J1919" i="1" s="1"/>
  <c r="I1919" i="1"/>
  <c r="G1919" i="1"/>
  <c r="O1918" i="1"/>
  <c r="P1918" i="1" s="1"/>
  <c r="Q1918" i="1" s="1"/>
  <c r="S1918" i="1" s="1"/>
  <c r="J1918" i="1" s="1"/>
  <c r="I1918" i="1"/>
  <c r="G1918" i="1"/>
  <c r="O1917" i="1"/>
  <c r="P1917" i="1" s="1"/>
  <c r="Q1917" i="1" s="1"/>
  <c r="S1917" i="1" s="1"/>
  <c r="J1917" i="1" s="1"/>
  <c r="I1917" i="1"/>
  <c r="G1917" i="1"/>
  <c r="O1916" i="1"/>
  <c r="P1916" i="1" s="1"/>
  <c r="Q1916" i="1" s="1"/>
  <c r="S1916" i="1" s="1"/>
  <c r="J1916" i="1" s="1"/>
  <c r="I1916" i="1"/>
  <c r="G1916" i="1"/>
  <c r="O1915" i="1"/>
  <c r="P1915" i="1" s="1"/>
  <c r="Q1915" i="1" s="1"/>
  <c r="S1915" i="1" s="1"/>
  <c r="J1915" i="1" s="1"/>
  <c r="I1915" i="1"/>
  <c r="G1915" i="1"/>
  <c r="O1914" i="1"/>
  <c r="P1914" i="1" s="1"/>
  <c r="Q1914" i="1" s="1"/>
  <c r="S1914" i="1" s="1"/>
  <c r="J1914" i="1" s="1"/>
  <c r="I1914" i="1"/>
  <c r="G1914" i="1"/>
  <c r="O1913" i="1"/>
  <c r="P1913" i="1" s="1"/>
  <c r="Q1913" i="1" s="1"/>
  <c r="S1913" i="1" s="1"/>
  <c r="J1913" i="1" s="1"/>
  <c r="I1913" i="1"/>
  <c r="G1913" i="1"/>
  <c r="O1912" i="1"/>
  <c r="P1912" i="1" s="1"/>
  <c r="Q1912" i="1" s="1"/>
  <c r="S1912" i="1" s="1"/>
  <c r="J1912" i="1" s="1"/>
  <c r="I1912" i="1"/>
  <c r="G1912" i="1"/>
  <c r="O1911" i="1"/>
  <c r="P1911" i="1" s="1"/>
  <c r="Q1911" i="1" s="1"/>
  <c r="S1911" i="1" s="1"/>
  <c r="J1911" i="1" s="1"/>
  <c r="I1911" i="1"/>
  <c r="G1911" i="1"/>
  <c r="O1910" i="1"/>
  <c r="P1910" i="1" s="1"/>
  <c r="Q1910" i="1" s="1"/>
  <c r="S1910" i="1" s="1"/>
  <c r="J1910" i="1" s="1"/>
  <c r="I1910" i="1"/>
  <c r="G1910" i="1"/>
  <c r="O1909" i="1"/>
  <c r="P1909" i="1" s="1"/>
  <c r="Q1909" i="1" s="1"/>
  <c r="S1909" i="1" s="1"/>
  <c r="J1909" i="1" s="1"/>
  <c r="I1909" i="1"/>
  <c r="G1909" i="1"/>
  <c r="O1908" i="1"/>
  <c r="P1908" i="1" s="1"/>
  <c r="Q1908" i="1" s="1"/>
  <c r="S1908" i="1" s="1"/>
  <c r="J1908" i="1" s="1"/>
  <c r="I1908" i="1"/>
  <c r="G1908" i="1"/>
  <c r="O1907" i="1"/>
  <c r="P1907" i="1" s="1"/>
  <c r="Q1907" i="1" s="1"/>
  <c r="S1907" i="1" s="1"/>
  <c r="J1907" i="1" s="1"/>
  <c r="I1907" i="1"/>
  <c r="G1907" i="1"/>
  <c r="O1906" i="1"/>
  <c r="P1906" i="1" s="1"/>
  <c r="Q1906" i="1" s="1"/>
  <c r="S1906" i="1" s="1"/>
  <c r="J1906" i="1" s="1"/>
  <c r="I1906" i="1"/>
  <c r="G1906" i="1"/>
  <c r="O1905" i="1"/>
  <c r="P1905" i="1" s="1"/>
  <c r="Q1905" i="1" s="1"/>
  <c r="S1905" i="1" s="1"/>
  <c r="J1905" i="1" s="1"/>
  <c r="I1905" i="1"/>
  <c r="G1905" i="1"/>
  <c r="O1904" i="1"/>
  <c r="P1904" i="1" s="1"/>
  <c r="Q1904" i="1" s="1"/>
  <c r="S1904" i="1" s="1"/>
  <c r="J1904" i="1" s="1"/>
  <c r="I1904" i="1"/>
  <c r="G1904" i="1"/>
  <c r="O1903" i="1"/>
  <c r="P1903" i="1" s="1"/>
  <c r="Q1903" i="1" s="1"/>
  <c r="S1903" i="1" s="1"/>
  <c r="J1903" i="1" s="1"/>
  <c r="I1903" i="1"/>
  <c r="G1903" i="1"/>
  <c r="O1902" i="1"/>
  <c r="P1902" i="1" s="1"/>
  <c r="Q1902" i="1" s="1"/>
  <c r="S1902" i="1" s="1"/>
  <c r="J1902" i="1" s="1"/>
  <c r="I1902" i="1"/>
  <c r="G1902" i="1"/>
  <c r="O1901" i="1"/>
  <c r="P1901" i="1" s="1"/>
  <c r="Q1901" i="1" s="1"/>
  <c r="S1901" i="1" s="1"/>
  <c r="J1901" i="1" s="1"/>
  <c r="I1901" i="1"/>
  <c r="G1901" i="1"/>
  <c r="O1900" i="1"/>
  <c r="P1900" i="1" s="1"/>
  <c r="Q1900" i="1" s="1"/>
  <c r="S1900" i="1" s="1"/>
  <c r="J1900" i="1" s="1"/>
  <c r="I1900" i="1"/>
  <c r="G1900" i="1"/>
  <c r="O1899" i="1"/>
  <c r="P1899" i="1" s="1"/>
  <c r="Q1899" i="1" s="1"/>
  <c r="S1899" i="1" s="1"/>
  <c r="J1899" i="1" s="1"/>
  <c r="I1899" i="1"/>
  <c r="G1899" i="1"/>
  <c r="O1898" i="1"/>
  <c r="P1898" i="1" s="1"/>
  <c r="Q1898" i="1" s="1"/>
  <c r="S1898" i="1" s="1"/>
  <c r="J1898" i="1" s="1"/>
  <c r="I1898" i="1"/>
  <c r="G1898" i="1"/>
  <c r="O1897" i="1"/>
  <c r="P1897" i="1" s="1"/>
  <c r="Q1897" i="1" s="1"/>
  <c r="S1897" i="1" s="1"/>
  <c r="J1897" i="1" s="1"/>
  <c r="I1897" i="1"/>
  <c r="G1897" i="1"/>
  <c r="O1896" i="1"/>
  <c r="P1896" i="1" s="1"/>
  <c r="Q1896" i="1" s="1"/>
  <c r="S1896" i="1" s="1"/>
  <c r="J1896" i="1" s="1"/>
  <c r="I1896" i="1"/>
  <c r="G1896" i="1"/>
  <c r="O1895" i="1"/>
  <c r="P1895" i="1" s="1"/>
  <c r="Q1895" i="1" s="1"/>
  <c r="S1895" i="1" s="1"/>
  <c r="J1895" i="1" s="1"/>
  <c r="I1895" i="1"/>
  <c r="G1895" i="1"/>
  <c r="O1894" i="1"/>
  <c r="P1894" i="1" s="1"/>
  <c r="Q1894" i="1" s="1"/>
  <c r="S1894" i="1" s="1"/>
  <c r="J1894" i="1" s="1"/>
  <c r="I1894" i="1"/>
  <c r="G1894" i="1"/>
  <c r="O1893" i="1"/>
  <c r="P1893" i="1" s="1"/>
  <c r="Q1893" i="1" s="1"/>
  <c r="S1893" i="1" s="1"/>
  <c r="J1893" i="1" s="1"/>
  <c r="I1893" i="1"/>
  <c r="G1893" i="1"/>
  <c r="P1892" i="1"/>
  <c r="Q1892" i="1" s="1"/>
  <c r="S1892" i="1" s="1"/>
  <c r="J1892" i="1" s="1"/>
  <c r="O1892" i="1"/>
  <c r="I1892" i="1"/>
  <c r="G1892" i="1"/>
  <c r="P1891" i="1"/>
  <c r="Q1891" i="1" s="1"/>
  <c r="S1891" i="1" s="1"/>
  <c r="J1891" i="1" s="1"/>
  <c r="O1891" i="1"/>
  <c r="I1891" i="1"/>
  <c r="G1891" i="1"/>
  <c r="P1890" i="1"/>
  <c r="Q1890" i="1" s="1"/>
  <c r="S1890" i="1" s="1"/>
  <c r="J1890" i="1" s="1"/>
  <c r="O1890" i="1"/>
  <c r="I1890" i="1"/>
  <c r="G1890" i="1"/>
  <c r="P1889" i="1"/>
  <c r="Q1889" i="1" s="1"/>
  <c r="S1889" i="1" s="1"/>
  <c r="J1889" i="1" s="1"/>
  <c r="O1889" i="1"/>
  <c r="I1889" i="1"/>
  <c r="G1889" i="1"/>
  <c r="B1889" i="1"/>
  <c r="O1888" i="1"/>
  <c r="P1888" i="1" s="1"/>
  <c r="Q1888" i="1" s="1"/>
  <c r="S1888" i="1" s="1"/>
  <c r="J1888" i="1" s="1"/>
  <c r="I1888" i="1"/>
  <c r="G1888" i="1"/>
  <c r="O1887" i="1"/>
  <c r="P1887" i="1" s="1"/>
  <c r="Q1887" i="1" s="1"/>
  <c r="S1887" i="1" s="1"/>
  <c r="J1887" i="1" s="1"/>
  <c r="I1887" i="1"/>
  <c r="G1887" i="1"/>
  <c r="O1886" i="1"/>
  <c r="P1886" i="1" s="1"/>
  <c r="Q1886" i="1" s="1"/>
  <c r="S1886" i="1" s="1"/>
  <c r="J1886" i="1" s="1"/>
  <c r="I1886" i="1"/>
  <c r="G1886" i="1"/>
  <c r="O1885" i="1"/>
  <c r="P1885" i="1" s="1"/>
  <c r="Q1885" i="1" s="1"/>
  <c r="S1885" i="1" s="1"/>
  <c r="J1885" i="1" s="1"/>
  <c r="I1885" i="1"/>
  <c r="G1885" i="1"/>
  <c r="O1884" i="1"/>
  <c r="P1884" i="1" s="1"/>
  <c r="Q1884" i="1" s="1"/>
  <c r="S1884" i="1" s="1"/>
  <c r="J1884" i="1" s="1"/>
  <c r="I1884" i="1"/>
  <c r="G1884" i="1"/>
  <c r="O1883" i="1"/>
  <c r="P1883" i="1" s="1"/>
  <c r="Q1883" i="1" s="1"/>
  <c r="S1883" i="1" s="1"/>
  <c r="J1883" i="1" s="1"/>
  <c r="I1883" i="1"/>
  <c r="G1883" i="1"/>
  <c r="O1882" i="1"/>
  <c r="P1882" i="1" s="1"/>
  <c r="Q1882" i="1" s="1"/>
  <c r="S1882" i="1" s="1"/>
  <c r="J1882" i="1" s="1"/>
  <c r="I1882" i="1"/>
  <c r="G1882" i="1"/>
  <c r="O1881" i="1"/>
  <c r="P1881" i="1" s="1"/>
  <c r="Q1881" i="1" s="1"/>
  <c r="S1881" i="1" s="1"/>
  <c r="J1881" i="1" s="1"/>
  <c r="I1881" i="1"/>
  <c r="G1881" i="1"/>
  <c r="O1880" i="1"/>
  <c r="P1880" i="1" s="1"/>
  <c r="Q1880" i="1" s="1"/>
  <c r="S1880" i="1" s="1"/>
  <c r="J1880" i="1" s="1"/>
  <c r="I1880" i="1"/>
  <c r="G1880" i="1"/>
  <c r="O1879" i="1"/>
  <c r="P1879" i="1" s="1"/>
  <c r="Q1879" i="1" s="1"/>
  <c r="S1879" i="1" s="1"/>
  <c r="J1879" i="1" s="1"/>
  <c r="I1879" i="1"/>
  <c r="G1879" i="1"/>
  <c r="O1878" i="1"/>
  <c r="P1878" i="1" s="1"/>
  <c r="Q1878" i="1" s="1"/>
  <c r="S1878" i="1" s="1"/>
  <c r="J1878" i="1" s="1"/>
  <c r="I1878" i="1"/>
  <c r="G1878" i="1"/>
  <c r="O1877" i="1"/>
  <c r="P1877" i="1" s="1"/>
  <c r="Q1877" i="1" s="1"/>
  <c r="S1877" i="1" s="1"/>
  <c r="J1877" i="1" s="1"/>
  <c r="I1877" i="1"/>
  <c r="G1877" i="1"/>
  <c r="O1876" i="1"/>
  <c r="P1876" i="1" s="1"/>
  <c r="Q1876" i="1" s="1"/>
  <c r="S1876" i="1" s="1"/>
  <c r="J1876" i="1" s="1"/>
  <c r="I1876" i="1"/>
  <c r="G1876" i="1"/>
  <c r="O1875" i="1"/>
  <c r="P1875" i="1" s="1"/>
  <c r="Q1875" i="1" s="1"/>
  <c r="S1875" i="1" s="1"/>
  <c r="J1875" i="1" s="1"/>
  <c r="I1875" i="1"/>
  <c r="G1875" i="1"/>
  <c r="O1874" i="1"/>
  <c r="P1874" i="1" s="1"/>
  <c r="Q1874" i="1" s="1"/>
  <c r="S1874" i="1" s="1"/>
  <c r="J1874" i="1" s="1"/>
  <c r="I1874" i="1"/>
  <c r="G1874" i="1"/>
  <c r="O1873" i="1"/>
  <c r="P1873" i="1" s="1"/>
  <c r="Q1873" i="1" s="1"/>
  <c r="S1873" i="1" s="1"/>
  <c r="J1873" i="1" s="1"/>
  <c r="I1873" i="1"/>
  <c r="G1873" i="1"/>
  <c r="O1872" i="1"/>
  <c r="P1872" i="1" s="1"/>
  <c r="Q1872" i="1" s="1"/>
  <c r="S1872" i="1" s="1"/>
  <c r="J1872" i="1" s="1"/>
  <c r="I1872" i="1"/>
  <c r="G1872" i="1"/>
  <c r="O1871" i="1"/>
  <c r="P1871" i="1" s="1"/>
  <c r="Q1871" i="1" s="1"/>
  <c r="S1871" i="1" s="1"/>
  <c r="J1871" i="1" s="1"/>
  <c r="I1871" i="1"/>
  <c r="G1871" i="1"/>
  <c r="O1870" i="1"/>
  <c r="P1870" i="1" s="1"/>
  <c r="Q1870" i="1" s="1"/>
  <c r="S1870" i="1" s="1"/>
  <c r="J1870" i="1" s="1"/>
  <c r="I1870" i="1"/>
  <c r="G1870" i="1"/>
  <c r="O1869" i="1"/>
  <c r="P1869" i="1" s="1"/>
  <c r="Q1869" i="1" s="1"/>
  <c r="S1869" i="1" s="1"/>
  <c r="J1869" i="1" s="1"/>
  <c r="I1869" i="1"/>
  <c r="G1869" i="1"/>
  <c r="O1868" i="1"/>
  <c r="P1868" i="1" s="1"/>
  <c r="Q1868" i="1" s="1"/>
  <c r="S1868" i="1" s="1"/>
  <c r="J1868" i="1" s="1"/>
  <c r="I1868" i="1"/>
  <c r="G1868" i="1"/>
  <c r="O1867" i="1"/>
  <c r="P1867" i="1" s="1"/>
  <c r="Q1867" i="1" s="1"/>
  <c r="S1867" i="1" s="1"/>
  <c r="J1867" i="1" s="1"/>
  <c r="I1867" i="1"/>
  <c r="G1867" i="1"/>
  <c r="O1866" i="1"/>
  <c r="P1866" i="1" s="1"/>
  <c r="Q1866" i="1" s="1"/>
  <c r="S1866" i="1" s="1"/>
  <c r="J1866" i="1" s="1"/>
  <c r="I1866" i="1"/>
  <c r="G1866" i="1"/>
  <c r="O1865" i="1"/>
  <c r="P1865" i="1" s="1"/>
  <c r="Q1865" i="1" s="1"/>
  <c r="S1865" i="1" s="1"/>
  <c r="J1865" i="1" s="1"/>
  <c r="I1865" i="1"/>
  <c r="G1865" i="1"/>
  <c r="O1864" i="1"/>
  <c r="P1864" i="1" s="1"/>
  <c r="Q1864" i="1" s="1"/>
  <c r="S1864" i="1" s="1"/>
  <c r="J1864" i="1" s="1"/>
  <c r="I1864" i="1"/>
  <c r="G1864" i="1"/>
  <c r="O1863" i="1"/>
  <c r="P1863" i="1" s="1"/>
  <c r="Q1863" i="1" s="1"/>
  <c r="S1863" i="1" s="1"/>
  <c r="J1863" i="1" s="1"/>
  <c r="I1863" i="1"/>
  <c r="G1863" i="1"/>
  <c r="O1862" i="1"/>
  <c r="P1862" i="1" s="1"/>
  <c r="Q1862" i="1" s="1"/>
  <c r="S1862" i="1" s="1"/>
  <c r="J1862" i="1" s="1"/>
  <c r="I1862" i="1"/>
  <c r="G1862" i="1"/>
  <c r="O1861" i="1"/>
  <c r="P1861" i="1" s="1"/>
  <c r="Q1861" i="1" s="1"/>
  <c r="S1861" i="1" s="1"/>
  <c r="J1861" i="1" s="1"/>
  <c r="I1861" i="1"/>
  <c r="G1861" i="1"/>
  <c r="O1860" i="1"/>
  <c r="P1860" i="1" s="1"/>
  <c r="Q1860" i="1" s="1"/>
  <c r="S1860" i="1" s="1"/>
  <c r="J1860" i="1" s="1"/>
  <c r="I1860" i="1"/>
  <c r="G1860" i="1"/>
  <c r="O1859" i="1"/>
  <c r="P1859" i="1" s="1"/>
  <c r="Q1859" i="1" s="1"/>
  <c r="S1859" i="1" s="1"/>
  <c r="J1859" i="1" s="1"/>
  <c r="I1859" i="1"/>
  <c r="G1859" i="1"/>
  <c r="O1858" i="1"/>
  <c r="P1858" i="1" s="1"/>
  <c r="Q1858" i="1" s="1"/>
  <c r="S1858" i="1" s="1"/>
  <c r="J1858" i="1" s="1"/>
  <c r="I1858" i="1"/>
  <c r="G1858" i="1"/>
  <c r="O1857" i="1"/>
  <c r="P1857" i="1" s="1"/>
  <c r="Q1857" i="1" s="1"/>
  <c r="S1857" i="1" s="1"/>
  <c r="J1857" i="1" s="1"/>
  <c r="I1857" i="1"/>
  <c r="G1857" i="1"/>
  <c r="O1856" i="1"/>
  <c r="P1856" i="1" s="1"/>
  <c r="Q1856" i="1" s="1"/>
  <c r="S1856" i="1" s="1"/>
  <c r="J1856" i="1" s="1"/>
  <c r="I1856" i="1"/>
  <c r="G1856" i="1"/>
  <c r="O1855" i="1"/>
  <c r="P1855" i="1" s="1"/>
  <c r="Q1855" i="1" s="1"/>
  <c r="S1855" i="1" s="1"/>
  <c r="J1855" i="1" s="1"/>
  <c r="I1855" i="1"/>
  <c r="G1855" i="1"/>
  <c r="O1854" i="1"/>
  <c r="P1854" i="1" s="1"/>
  <c r="Q1854" i="1" s="1"/>
  <c r="S1854" i="1" s="1"/>
  <c r="J1854" i="1" s="1"/>
  <c r="I1854" i="1"/>
  <c r="G1854" i="1"/>
  <c r="O1853" i="1"/>
  <c r="P1853" i="1" s="1"/>
  <c r="Q1853" i="1" s="1"/>
  <c r="S1853" i="1" s="1"/>
  <c r="J1853" i="1" s="1"/>
  <c r="I1853" i="1"/>
  <c r="G1853" i="1"/>
  <c r="O1852" i="1"/>
  <c r="P1852" i="1" s="1"/>
  <c r="Q1852" i="1" s="1"/>
  <c r="S1852" i="1" s="1"/>
  <c r="J1852" i="1" s="1"/>
  <c r="I1852" i="1"/>
  <c r="G1852" i="1"/>
  <c r="O1851" i="1"/>
  <c r="P1851" i="1" s="1"/>
  <c r="Q1851" i="1" s="1"/>
  <c r="S1851" i="1" s="1"/>
  <c r="J1851" i="1" s="1"/>
  <c r="I1851" i="1"/>
  <c r="G1851" i="1"/>
  <c r="B1851" i="1"/>
  <c r="P1850" i="1"/>
  <c r="Q1850" i="1" s="1"/>
  <c r="S1850" i="1" s="1"/>
  <c r="J1850" i="1" s="1"/>
  <c r="O1850" i="1"/>
  <c r="I1850" i="1"/>
  <c r="G1850" i="1"/>
  <c r="P1849" i="1"/>
  <c r="Q1849" i="1" s="1"/>
  <c r="S1849" i="1" s="1"/>
  <c r="J1849" i="1" s="1"/>
  <c r="O1849" i="1"/>
  <c r="I1849" i="1"/>
  <c r="G1849" i="1"/>
  <c r="P1848" i="1"/>
  <c r="Q1848" i="1" s="1"/>
  <c r="S1848" i="1" s="1"/>
  <c r="J1848" i="1" s="1"/>
  <c r="O1848" i="1"/>
  <c r="I1848" i="1"/>
  <c r="G1848" i="1"/>
  <c r="P1847" i="1"/>
  <c r="Q1847" i="1" s="1"/>
  <c r="S1847" i="1" s="1"/>
  <c r="J1847" i="1" s="1"/>
  <c r="O1847" i="1"/>
  <c r="I1847" i="1"/>
  <c r="G1847" i="1"/>
  <c r="P1846" i="1"/>
  <c r="Q1846" i="1" s="1"/>
  <c r="S1846" i="1" s="1"/>
  <c r="J1846" i="1" s="1"/>
  <c r="O1846" i="1"/>
  <c r="I1846" i="1"/>
  <c r="G1846" i="1"/>
  <c r="P1845" i="1"/>
  <c r="Q1845" i="1" s="1"/>
  <c r="S1845" i="1" s="1"/>
  <c r="J1845" i="1" s="1"/>
  <c r="O1845" i="1"/>
  <c r="I1845" i="1"/>
  <c r="G1845" i="1"/>
  <c r="P1844" i="1"/>
  <c r="Q1844" i="1" s="1"/>
  <c r="S1844" i="1" s="1"/>
  <c r="J1844" i="1" s="1"/>
  <c r="O1844" i="1"/>
  <c r="I1844" i="1"/>
  <c r="G1844" i="1"/>
  <c r="P1843" i="1"/>
  <c r="Q1843" i="1" s="1"/>
  <c r="S1843" i="1" s="1"/>
  <c r="J1843" i="1" s="1"/>
  <c r="O1843" i="1"/>
  <c r="I1843" i="1"/>
  <c r="G1843" i="1"/>
  <c r="P1842" i="1"/>
  <c r="Q1842" i="1" s="1"/>
  <c r="S1842" i="1" s="1"/>
  <c r="J1842" i="1" s="1"/>
  <c r="O1842" i="1"/>
  <c r="I1842" i="1"/>
  <c r="G1842" i="1"/>
  <c r="P1841" i="1"/>
  <c r="Q1841" i="1" s="1"/>
  <c r="S1841" i="1" s="1"/>
  <c r="J1841" i="1" s="1"/>
  <c r="O1841" i="1"/>
  <c r="I1841" i="1"/>
  <c r="G1841" i="1"/>
  <c r="P1840" i="1"/>
  <c r="Q1840" i="1" s="1"/>
  <c r="S1840" i="1" s="1"/>
  <c r="J1840" i="1" s="1"/>
  <c r="O1840" i="1"/>
  <c r="I1840" i="1"/>
  <c r="G1840" i="1"/>
  <c r="P1839" i="1"/>
  <c r="Q1839" i="1" s="1"/>
  <c r="S1839" i="1" s="1"/>
  <c r="J1839" i="1" s="1"/>
  <c r="O1839" i="1"/>
  <c r="I1839" i="1"/>
  <c r="G1839" i="1"/>
  <c r="P1838" i="1"/>
  <c r="Q1838" i="1" s="1"/>
  <c r="S1838" i="1" s="1"/>
  <c r="J1838" i="1" s="1"/>
  <c r="O1838" i="1"/>
  <c r="I1838" i="1"/>
  <c r="G1838" i="1"/>
  <c r="P1837" i="1"/>
  <c r="Q1837" i="1" s="1"/>
  <c r="S1837" i="1" s="1"/>
  <c r="J1837" i="1" s="1"/>
  <c r="O1837" i="1"/>
  <c r="I1837" i="1"/>
  <c r="G1837" i="1"/>
  <c r="P1836" i="1"/>
  <c r="Q1836" i="1" s="1"/>
  <c r="S1836" i="1" s="1"/>
  <c r="J1836" i="1" s="1"/>
  <c r="O1836" i="1"/>
  <c r="I1836" i="1"/>
  <c r="G1836" i="1"/>
  <c r="A1836" i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O1835" i="1"/>
  <c r="P1835" i="1" s="1"/>
  <c r="Q1835" i="1" s="1"/>
  <c r="S1835" i="1" s="1"/>
  <c r="J1835" i="1" s="1"/>
  <c r="I1835" i="1"/>
  <c r="G1835" i="1"/>
  <c r="Y1834" i="1"/>
  <c r="Y1832" i="1"/>
  <c r="Y1831" i="1"/>
  <c r="O1830" i="1"/>
  <c r="P1830" i="1" s="1"/>
  <c r="Q1830" i="1" s="1"/>
  <c r="S1830" i="1" s="1"/>
  <c r="J1830" i="1" s="1"/>
  <c r="I1830" i="1"/>
  <c r="G1830" i="1"/>
  <c r="O1829" i="1"/>
  <c r="P1829" i="1" s="1"/>
  <c r="Q1829" i="1" s="1"/>
  <c r="S1829" i="1" s="1"/>
  <c r="J1829" i="1" s="1"/>
  <c r="I1829" i="1"/>
  <c r="G1829" i="1"/>
  <c r="O1828" i="1"/>
  <c r="P1828" i="1" s="1"/>
  <c r="Q1828" i="1" s="1"/>
  <c r="S1828" i="1" s="1"/>
  <c r="J1828" i="1" s="1"/>
  <c r="I1828" i="1"/>
  <c r="G1828" i="1"/>
  <c r="O1827" i="1"/>
  <c r="P1827" i="1" s="1"/>
  <c r="Q1827" i="1" s="1"/>
  <c r="S1827" i="1" s="1"/>
  <c r="J1827" i="1" s="1"/>
  <c r="O1826" i="1"/>
  <c r="P1826" i="1" s="1"/>
  <c r="Q1826" i="1" s="1"/>
  <c r="S1826" i="1" s="1"/>
  <c r="J1826" i="1" s="1"/>
  <c r="O1825" i="1"/>
  <c r="P1825" i="1" s="1"/>
  <c r="Q1825" i="1" s="1"/>
  <c r="S1825" i="1" s="1"/>
  <c r="J1825" i="1" s="1"/>
  <c r="I1825" i="1"/>
  <c r="G1825" i="1"/>
  <c r="O1824" i="1"/>
  <c r="P1824" i="1" s="1"/>
  <c r="Q1824" i="1" s="1"/>
  <c r="S1824" i="1" s="1"/>
  <c r="J1824" i="1" s="1"/>
  <c r="O1823" i="1"/>
  <c r="P1823" i="1" s="1"/>
  <c r="Q1823" i="1" s="1"/>
  <c r="S1823" i="1" s="1"/>
  <c r="J1823" i="1" s="1"/>
  <c r="I1823" i="1"/>
  <c r="G1823" i="1"/>
  <c r="O1822" i="1"/>
  <c r="P1822" i="1" s="1"/>
  <c r="Q1822" i="1" s="1"/>
  <c r="S1822" i="1" s="1"/>
  <c r="J1822" i="1" s="1"/>
  <c r="I1822" i="1"/>
  <c r="G1822" i="1"/>
  <c r="O1821" i="1"/>
  <c r="P1821" i="1" s="1"/>
  <c r="Q1821" i="1" s="1"/>
  <c r="S1821" i="1" s="1"/>
  <c r="J1821" i="1" s="1"/>
  <c r="O1820" i="1"/>
  <c r="P1820" i="1" s="1"/>
  <c r="Q1820" i="1" s="1"/>
  <c r="S1820" i="1" s="1"/>
  <c r="J1820" i="1" s="1"/>
  <c r="O1819" i="1"/>
  <c r="P1819" i="1" s="1"/>
  <c r="Q1819" i="1" s="1"/>
  <c r="S1819" i="1" s="1"/>
  <c r="J1819" i="1" s="1"/>
  <c r="I1819" i="1"/>
  <c r="G1819" i="1"/>
  <c r="O1818" i="1"/>
  <c r="P1818" i="1" s="1"/>
  <c r="Q1818" i="1" s="1"/>
  <c r="S1818" i="1" s="1"/>
  <c r="J1818" i="1" s="1"/>
  <c r="I1818" i="1"/>
  <c r="G1818" i="1"/>
  <c r="O1817" i="1"/>
  <c r="P1817" i="1" s="1"/>
  <c r="Q1817" i="1" s="1"/>
  <c r="S1817" i="1" s="1"/>
  <c r="J1817" i="1" s="1"/>
  <c r="O1816" i="1"/>
  <c r="P1816" i="1" s="1"/>
  <c r="Q1816" i="1" s="1"/>
  <c r="S1816" i="1" s="1"/>
  <c r="J1816" i="1" s="1"/>
  <c r="I1816" i="1"/>
  <c r="G1816" i="1"/>
  <c r="O1815" i="1"/>
  <c r="P1815" i="1" s="1"/>
  <c r="Q1815" i="1" s="1"/>
  <c r="S1815" i="1" s="1"/>
  <c r="J1815" i="1" s="1"/>
  <c r="I1815" i="1"/>
  <c r="G1815" i="1"/>
  <c r="O1814" i="1"/>
  <c r="P1814" i="1" s="1"/>
  <c r="Q1814" i="1" s="1"/>
  <c r="S1814" i="1" s="1"/>
  <c r="J1814" i="1" s="1"/>
  <c r="I1814" i="1"/>
  <c r="G1814" i="1"/>
  <c r="O1813" i="1"/>
  <c r="P1813" i="1" s="1"/>
  <c r="Q1813" i="1" s="1"/>
  <c r="S1813" i="1" s="1"/>
  <c r="J1813" i="1" s="1"/>
  <c r="I1813" i="1"/>
  <c r="G1813" i="1"/>
  <c r="O1812" i="1"/>
  <c r="P1812" i="1" s="1"/>
  <c r="Q1812" i="1" s="1"/>
  <c r="S1812" i="1" s="1"/>
  <c r="J1812" i="1" s="1"/>
  <c r="I1812" i="1"/>
  <c r="G1812" i="1"/>
  <c r="O1811" i="1"/>
  <c r="P1811" i="1" s="1"/>
  <c r="Q1811" i="1" s="1"/>
  <c r="S1811" i="1" s="1"/>
  <c r="J1811" i="1" s="1"/>
  <c r="I1811" i="1"/>
  <c r="G1811" i="1"/>
  <c r="O1810" i="1"/>
  <c r="P1810" i="1" s="1"/>
  <c r="Q1810" i="1" s="1"/>
  <c r="S1810" i="1" s="1"/>
  <c r="J1810" i="1" s="1"/>
  <c r="I1810" i="1"/>
  <c r="G1810" i="1"/>
  <c r="O1809" i="1"/>
  <c r="P1809" i="1" s="1"/>
  <c r="Q1809" i="1" s="1"/>
  <c r="S1809" i="1" s="1"/>
  <c r="J1809" i="1" s="1"/>
  <c r="I1809" i="1"/>
  <c r="G1809" i="1"/>
  <c r="O1808" i="1"/>
  <c r="P1808" i="1" s="1"/>
  <c r="Q1808" i="1" s="1"/>
  <c r="S1808" i="1" s="1"/>
  <c r="J1808" i="1" s="1"/>
  <c r="I1808" i="1"/>
  <c r="G1808" i="1"/>
  <c r="O1807" i="1"/>
  <c r="P1807" i="1" s="1"/>
  <c r="Q1807" i="1" s="1"/>
  <c r="S1807" i="1" s="1"/>
  <c r="J1807" i="1" s="1"/>
  <c r="O1806" i="1"/>
  <c r="P1806" i="1" s="1"/>
  <c r="Q1806" i="1" s="1"/>
  <c r="S1806" i="1" s="1"/>
  <c r="J1806" i="1" s="1"/>
  <c r="I1806" i="1"/>
  <c r="G1806" i="1"/>
  <c r="O1805" i="1"/>
  <c r="P1805" i="1" s="1"/>
  <c r="Q1805" i="1" s="1"/>
  <c r="S1805" i="1" s="1"/>
  <c r="J1805" i="1" s="1"/>
  <c r="I1805" i="1"/>
  <c r="G1805" i="1"/>
  <c r="O1804" i="1"/>
  <c r="P1804" i="1" s="1"/>
  <c r="Q1804" i="1" s="1"/>
  <c r="S1804" i="1" s="1"/>
  <c r="J1804" i="1" s="1"/>
  <c r="I1804" i="1"/>
  <c r="G1804" i="1"/>
  <c r="O1803" i="1"/>
  <c r="P1803" i="1" s="1"/>
  <c r="Q1803" i="1" s="1"/>
  <c r="S1803" i="1" s="1"/>
  <c r="J1803" i="1" s="1"/>
  <c r="I1803" i="1"/>
  <c r="G1803" i="1"/>
  <c r="O1802" i="1"/>
  <c r="P1802" i="1" s="1"/>
  <c r="Q1802" i="1" s="1"/>
  <c r="S1802" i="1" s="1"/>
  <c r="J1802" i="1" s="1"/>
  <c r="I1802" i="1"/>
  <c r="G1802" i="1"/>
  <c r="O1801" i="1"/>
  <c r="P1801" i="1" s="1"/>
  <c r="Q1801" i="1" s="1"/>
  <c r="S1801" i="1" s="1"/>
  <c r="J1801" i="1" s="1"/>
  <c r="I1801" i="1"/>
  <c r="G1801" i="1"/>
  <c r="O1800" i="1"/>
  <c r="P1800" i="1" s="1"/>
  <c r="Q1800" i="1" s="1"/>
  <c r="S1800" i="1" s="1"/>
  <c r="J1800" i="1" s="1"/>
  <c r="I1800" i="1"/>
  <c r="G1800" i="1"/>
  <c r="O1799" i="1"/>
  <c r="P1799" i="1" s="1"/>
  <c r="Q1799" i="1" s="1"/>
  <c r="S1799" i="1" s="1"/>
  <c r="J1799" i="1" s="1"/>
  <c r="I1799" i="1"/>
  <c r="G1799" i="1"/>
  <c r="O1798" i="1"/>
  <c r="P1798" i="1" s="1"/>
  <c r="Q1798" i="1" s="1"/>
  <c r="S1798" i="1" s="1"/>
  <c r="J1798" i="1" s="1"/>
  <c r="O1797" i="1"/>
  <c r="P1797" i="1" s="1"/>
  <c r="Q1797" i="1" s="1"/>
  <c r="S1797" i="1" s="1"/>
  <c r="J1797" i="1" s="1"/>
  <c r="O1796" i="1"/>
  <c r="P1796" i="1" s="1"/>
  <c r="Q1796" i="1" s="1"/>
  <c r="S1796" i="1" s="1"/>
  <c r="J1796" i="1" s="1"/>
  <c r="I1796" i="1"/>
  <c r="G1796" i="1"/>
  <c r="O1795" i="1"/>
  <c r="P1795" i="1" s="1"/>
  <c r="Q1795" i="1" s="1"/>
  <c r="S1795" i="1" s="1"/>
  <c r="J1795" i="1" s="1"/>
  <c r="O1794" i="1"/>
  <c r="P1794" i="1" s="1"/>
  <c r="Q1794" i="1" s="1"/>
  <c r="S1794" i="1" s="1"/>
  <c r="J1794" i="1" s="1"/>
  <c r="I1794" i="1"/>
  <c r="G1794" i="1"/>
  <c r="O1793" i="1"/>
  <c r="P1793" i="1" s="1"/>
  <c r="Q1793" i="1" s="1"/>
  <c r="S1793" i="1" s="1"/>
  <c r="J1793" i="1" s="1"/>
  <c r="I1793" i="1"/>
  <c r="G1793" i="1"/>
  <c r="O1792" i="1"/>
  <c r="P1792" i="1" s="1"/>
  <c r="Q1792" i="1" s="1"/>
  <c r="S1792" i="1" s="1"/>
  <c r="J1792" i="1" s="1"/>
  <c r="I1792" i="1"/>
  <c r="O1791" i="1"/>
  <c r="P1791" i="1" s="1"/>
  <c r="Q1791" i="1" s="1"/>
  <c r="S1791" i="1" s="1"/>
  <c r="J1791" i="1" s="1"/>
  <c r="O1790" i="1"/>
  <c r="P1790" i="1" s="1"/>
  <c r="Q1790" i="1" s="1"/>
  <c r="S1790" i="1" s="1"/>
  <c r="J1790" i="1" s="1"/>
  <c r="I1790" i="1"/>
  <c r="G1790" i="1"/>
  <c r="O1789" i="1"/>
  <c r="P1789" i="1" s="1"/>
  <c r="Q1789" i="1" s="1"/>
  <c r="S1789" i="1" s="1"/>
  <c r="J1789" i="1" s="1"/>
  <c r="I1789" i="1"/>
  <c r="G1789" i="1"/>
  <c r="B1789" i="1"/>
  <c r="B1790" i="1" s="1"/>
  <c r="B1791" i="1" s="1"/>
  <c r="B1792" i="1" s="1"/>
  <c r="B1793" i="1" s="1"/>
  <c r="B1794" i="1" s="1"/>
  <c r="B1795" i="1" s="1"/>
  <c r="B1796" i="1" s="1"/>
  <c r="B1797" i="1" s="1"/>
  <c r="B1798" i="1" s="1"/>
  <c r="B1799" i="1" s="1"/>
  <c r="B1800" i="1" s="1"/>
  <c r="B1801" i="1" s="1"/>
  <c r="B1802" i="1" s="1"/>
  <c r="B1803" i="1" s="1"/>
  <c r="B1804" i="1" s="1"/>
  <c r="B1805" i="1" s="1"/>
  <c r="B1806" i="1" s="1"/>
  <c r="B1807" i="1" s="1"/>
  <c r="B1808" i="1" s="1"/>
  <c r="B1809" i="1" s="1"/>
  <c r="B1810" i="1" s="1"/>
  <c r="B1811" i="1" s="1"/>
  <c r="B1812" i="1" s="1"/>
  <c r="B1813" i="1" s="1"/>
  <c r="B1814" i="1" s="1"/>
  <c r="B1815" i="1" s="1"/>
  <c r="B1816" i="1" s="1"/>
  <c r="B1817" i="1" s="1"/>
  <c r="B1818" i="1" s="1"/>
  <c r="B1819" i="1" s="1"/>
  <c r="B1820" i="1" s="1"/>
  <c r="B1821" i="1" s="1"/>
  <c r="B1822" i="1" s="1"/>
  <c r="B1823" i="1" s="1"/>
  <c r="B1824" i="1" s="1"/>
  <c r="B1825" i="1" s="1"/>
  <c r="B1826" i="1" s="1"/>
  <c r="B1827" i="1" s="1"/>
  <c r="B1828" i="1" s="1"/>
  <c r="B1829" i="1" s="1"/>
  <c r="B1830" i="1" s="1"/>
  <c r="O1788" i="1"/>
  <c r="P1788" i="1" s="1"/>
  <c r="Q1788" i="1" s="1"/>
  <c r="S1788" i="1" s="1"/>
  <c r="J1788" i="1" s="1"/>
  <c r="O1787" i="1"/>
  <c r="P1787" i="1" s="1"/>
  <c r="Q1787" i="1" s="1"/>
  <c r="S1787" i="1" s="1"/>
  <c r="J1787" i="1" s="1"/>
  <c r="I1787" i="1"/>
  <c r="G1787" i="1"/>
  <c r="O1786" i="1"/>
  <c r="P1786" i="1" s="1"/>
  <c r="Q1786" i="1" s="1"/>
  <c r="S1786" i="1" s="1"/>
  <c r="J1786" i="1" s="1"/>
  <c r="I1786" i="1"/>
  <c r="G1786" i="1"/>
  <c r="O1785" i="1"/>
  <c r="P1785" i="1" s="1"/>
  <c r="Q1785" i="1" s="1"/>
  <c r="S1785" i="1" s="1"/>
  <c r="J1785" i="1" s="1"/>
  <c r="O1784" i="1"/>
  <c r="P1784" i="1" s="1"/>
  <c r="Q1784" i="1" s="1"/>
  <c r="S1784" i="1" s="1"/>
  <c r="J1784" i="1" s="1"/>
  <c r="O1783" i="1"/>
  <c r="P1783" i="1" s="1"/>
  <c r="Q1783" i="1" s="1"/>
  <c r="S1783" i="1" s="1"/>
  <c r="J1783" i="1" s="1"/>
  <c r="I1783" i="1"/>
  <c r="G1783" i="1"/>
  <c r="O1782" i="1"/>
  <c r="P1782" i="1" s="1"/>
  <c r="Q1782" i="1" s="1"/>
  <c r="S1782" i="1" s="1"/>
  <c r="J1782" i="1" s="1"/>
  <c r="I1782" i="1"/>
  <c r="G1782" i="1"/>
  <c r="O1781" i="1"/>
  <c r="P1781" i="1" s="1"/>
  <c r="Q1781" i="1" s="1"/>
  <c r="S1781" i="1" s="1"/>
  <c r="J1781" i="1" s="1"/>
  <c r="I1781" i="1"/>
  <c r="G1781" i="1"/>
  <c r="O1780" i="1"/>
  <c r="P1780" i="1" s="1"/>
  <c r="Q1780" i="1" s="1"/>
  <c r="S1780" i="1" s="1"/>
  <c r="J1780" i="1" s="1"/>
  <c r="I1780" i="1"/>
  <c r="G1780" i="1"/>
  <c r="O1779" i="1"/>
  <c r="P1779" i="1" s="1"/>
  <c r="Q1779" i="1" s="1"/>
  <c r="S1779" i="1" s="1"/>
  <c r="J1779" i="1" s="1"/>
  <c r="I1779" i="1"/>
  <c r="G1779" i="1"/>
  <c r="O1778" i="1"/>
  <c r="P1778" i="1" s="1"/>
  <c r="Q1778" i="1" s="1"/>
  <c r="S1778" i="1" s="1"/>
  <c r="J1778" i="1" s="1"/>
  <c r="I1778" i="1"/>
  <c r="G1778" i="1"/>
  <c r="O1777" i="1"/>
  <c r="P1777" i="1" s="1"/>
  <c r="Q1777" i="1" s="1"/>
  <c r="S1777" i="1" s="1"/>
  <c r="J1777" i="1" s="1"/>
  <c r="I1777" i="1"/>
  <c r="G1777" i="1"/>
  <c r="O1776" i="1"/>
  <c r="P1776" i="1" s="1"/>
  <c r="Q1776" i="1" s="1"/>
  <c r="S1776" i="1" s="1"/>
  <c r="J1776" i="1" s="1"/>
  <c r="I1776" i="1"/>
  <c r="G1776" i="1"/>
  <c r="P1775" i="1"/>
  <c r="Q1775" i="1" s="1"/>
  <c r="S1775" i="1" s="1"/>
  <c r="J1775" i="1" s="1"/>
  <c r="O1775" i="1"/>
  <c r="I1775" i="1"/>
  <c r="O1774" i="1"/>
  <c r="P1774" i="1" s="1"/>
  <c r="Q1774" i="1" s="1"/>
  <c r="S1774" i="1" s="1"/>
  <c r="J1774" i="1" s="1"/>
  <c r="I1774" i="1"/>
  <c r="O1773" i="1"/>
  <c r="P1773" i="1" s="1"/>
  <c r="Q1773" i="1" s="1"/>
  <c r="S1773" i="1" s="1"/>
  <c r="J1773" i="1" s="1"/>
  <c r="I1773" i="1"/>
  <c r="G1773" i="1"/>
  <c r="O1772" i="1"/>
  <c r="P1772" i="1" s="1"/>
  <c r="Q1772" i="1" s="1"/>
  <c r="S1772" i="1" s="1"/>
  <c r="J1772" i="1" s="1"/>
  <c r="I1772" i="1"/>
  <c r="G1772" i="1"/>
  <c r="O1771" i="1"/>
  <c r="P1771" i="1" s="1"/>
  <c r="Q1771" i="1" s="1"/>
  <c r="S1771" i="1" s="1"/>
  <c r="J1771" i="1" s="1"/>
  <c r="I1771" i="1"/>
  <c r="G1771" i="1"/>
  <c r="O1770" i="1"/>
  <c r="P1770" i="1" s="1"/>
  <c r="Q1770" i="1" s="1"/>
  <c r="S1770" i="1" s="1"/>
  <c r="J1770" i="1" s="1"/>
  <c r="I1770" i="1"/>
  <c r="G1770" i="1"/>
  <c r="O1769" i="1"/>
  <c r="P1769" i="1" s="1"/>
  <c r="Q1769" i="1" s="1"/>
  <c r="S1769" i="1" s="1"/>
  <c r="J1769" i="1" s="1"/>
  <c r="I1769" i="1"/>
  <c r="G1769" i="1"/>
  <c r="O1768" i="1"/>
  <c r="P1768" i="1" s="1"/>
  <c r="Q1768" i="1" s="1"/>
  <c r="S1768" i="1" s="1"/>
  <c r="J1768" i="1" s="1"/>
  <c r="I1768" i="1"/>
  <c r="G1768" i="1"/>
  <c r="O1767" i="1"/>
  <c r="P1767" i="1" s="1"/>
  <c r="Q1767" i="1" s="1"/>
  <c r="S1767" i="1" s="1"/>
  <c r="J1767" i="1" s="1"/>
  <c r="I1767" i="1"/>
  <c r="G1767" i="1"/>
  <c r="O1766" i="1"/>
  <c r="P1766" i="1" s="1"/>
  <c r="Q1766" i="1" s="1"/>
  <c r="S1766" i="1" s="1"/>
  <c r="J1766" i="1" s="1"/>
  <c r="I1766" i="1"/>
  <c r="G1766" i="1"/>
  <c r="O1765" i="1"/>
  <c r="P1765" i="1" s="1"/>
  <c r="Q1765" i="1" s="1"/>
  <c r="S1765" i="1" s="1"/>
  <c r="J1765" i="1" s="1"/>
  <c r="I1765" i="1"/>
  <c r="G1765" i="1"/>
  <c r="O1764" i="1"/>
  <c r="P1764" i="1" s="1"/>
  <c r="Q1764" i="1" s="1"/>
  <c r="S1764" i="1" s="1"/>
  <c r="J1764" i="1" s="1"/>
  <c r="I1764" i="1"/>
  <c r="G1764" i="1"/>
  <c r="O1763" i="1"/>
  <c r="P1763" i="1" s="1"/>
  <c r="Q1763" i="1" s="1"/>
  <c r="S1763" i="1" s="1"/>
  <c r="J1763" i="1" s="1"/>
  <c r="I1763" i="1"/>
  <c r="G1763" i="1"/>
  <c r="O1762" i="1"/>
  <c r="P1762" i="1" s="1"/>
  <c r="Q1762" i="1" s="1"/>
  <c r="S1762" i="1" s="1"/>
  <c r="J1762" i="1" s="1"/>
  <c r="I1762" i="1"/>
  <c r="G1762" i="1"/>
  <c r="O1761" i="1"/>
  <c r="P1761" i="1" s="1"/>
  <c r="Q1761" i="1" s="1"/>
  <c r="S1761" i="1" s="1"/>
  <c r="J1761" i="1" s="1"/>
  <c r="I1761" i="1"/>
  <c r="G1761" i="1"/>
  <c r="O1760" i="1"/>
  <c r="P1760" i="1" s="1"/>
  <c r="Q1760" i="1" s="1"/>
  <c r="S1760" i="1" s="1"/>
  <c r="J1760" i="1" s="1"/>
  <c r="I1760" i="1"/>
  <c r="G1760" i="1"/>
  <c r="O1759" i="1"/>
  <c r="P1759" i="1" s="1"/>
  <c r="Q1759" i="1" s="1"/>
  <c r="S1759" i="1" s="1"/>
  <c r="J1759" i="1" s="1"/>
  <c r="I1759" i="1"/>
  <c r="G1759" i="1"/>
  <c r="O1758" i="1"/>
  <c r="P1758" i="1" s="1"/>
  <c r="Q1758" i="1" s="1"/>
  <c r="S1758" i="1" s="1"/>
  <c r="J1758" i="1" s="1"/>
  <c r="O1757" i="1"/>
  <c r="P1757" i="1" s="1"/>
  <c r="Q1757" i="1" s="1"/>
  <c r="S1757" i="1" s="1"/>
  <c r="J1757" i="1" s="1"/>
  <c r="O1756" i="1"/>
  <c r="P1756" i="1" s="1"/>
  <c r="Q1756" i="1" s="1"/>
  <c r="S1756" i="1" s="1"/>
  <c r="J1756" i="1" s="1"/>
  <c r="G1756" i="1"/>
  <c r="O1755" i="1"/>
  <c r="P1755" i="1" s="1"/>
  <c r="Q1755" i="1" s="1"/>
  <c r="S1755" i="1" s="1"/>
  <c r="J1755" i="1" s="1"/>
  <c r="I1755" i="1"/>
  <c r="G1755" i="1"/>
  <c r="O1754" i="1"/>
  <c r="P1754" i="1" s="1"/>
  <c r="Q1754" i="1" s="1"/>
  <c r="S1754" i="1" s="1"/>
  <c r="J1754" i="1" s="1"/>
  <c r="I1754" i="1"/>
  <c r="G1754" i="1"/>
  <c r="O1753" i="1"/>
  <c r="P1753" i="1" s="1"/>
  <c r="Q1753" i="1" s="1"/>
  <c r="S1753" i="1" s="1"/>
  <c r="J1753" i="1" s="1"/>
  <c r="I1753" i="1"/>
  <c r="G1753" i="1"/>
  <c r="O1752" i="1"/>
  <c r="P1752" i="1" s="1"/>
  <c r="Q1752" i="1" s="1"/>
  <c r="S1752" i="1" s="1"/>
  <c r="J1752" i="1" s="1"/>
  <c r="I1752" i="1"/>
  <c r="G1752" i="1"/>
  <c r="O1751" i="1"/>
  <c r="P1751" i="1" s="1"/>
  <c r="Q1751" i="1" s="1"/>
  <c r="S1751" i="1" s="1"/>
  <c r="J1751" i="1" s="1"/>
  <c r="I1751" i="1"/>
  <c r="G1751" i="1"/>
  <c r="O1750" i="1"/>
  <c r="P1750" i="1" s="1"/>
  <c r="Q1750" i="1" s="1"/>
  <c r="S1750" i="1" s="1"/>
  <c r="J1750" i="1" s="1"/>
  <c r="I1750" i="1"/>
  <c r="G1750" i="1"/>
  <c r="O1749" i="1"/>
  <c r="P1749" i="1" s="1"/>
  <c r="Q1749" i="1" s="1"/>
  <c r="S1749" i="1" s="1"/>
  <c r="J1749" i="1" s="1"/>
  <c r="I1749" i="1"/>
  <c r="G1749" i="1"/>
  <c r="O1748" i="1"/>
  <c r="P1748" i="1" s="1"/>
  <c r="Q1748" i="1" s="1"/>
  <c r="S1748" i="1" s="1"/>
  <c r="J1748" i="1" s="1"/>
  <c r="I1748" i="1"/>
  <c r="G1748" i="1"/>
  <c r="O1747" i="1"/>
  <c r="P1747" i="1" s="1"/>
  <c r="Q1747" i="1" s="1"/>
  <c r="S1747" i="1" s="1"/>
  <c r="J1747" i="1" s="1"/>
  <c r="I1747" i="1"/>
  <c r="G1747" i="1"/>
  <c r="H1746" i="1"/>
  <c r="O1746" i="1" s="1"/>
  <c r="F1746" i="1"/>
  <c r="G1746" i="1" s="1"/>
  <c r="O1745" i="1"/>
  <c r="P1745" i="1" s="1"/>
  <c r="Q1745" i="1" s="1"/>
  <c r="S1745" i="1" s="1"/>
  <c r="J1745" i="1" s="1"/>
  <c r="I1745" i="1"/>
  <c r="G1745" i="1"/>
  <c r="O1744" i="1"/>
  <c r="P1744" i="1" s="1"/>
  <c r="Q1744" i="1" s="1"/>
  <c r="S1744" i="1" s="1"/>
  <c r="J1744" i="1" s="1"/>
  <c r="I1744" i="1"/>
  <c r="G1744" i="1"/>
  <c r="O1743" i="1"/>
  <c r="P1743" i="1" s="1"/>
  <c r="Q1743" i="1" s="1"/>
  <c r="S1743" i="1" s="1"/>
  <c r="J1743" i="1" s="1"/>
  <c r="I1743" i="1"/>
  <c r="G1743" i="1"/>
  <c r="O1742" i="1"/>
  <c r="P1742" i="1" s="1"/>
  <c r="Q1742" i="1" s="1"/>
  <c r="S1742" i="1" s="1"/>
  <c r="J1742" i="1" s="1"/>
  <c r="I1742" i="1"/>
  <c r="G1742" i="1"/>
  <c r="O1741" i="1"/>
  <c r="P1741" i="1" s="1"/>
  <c r="Q1741" i="1" s="1"/>
  <c r="S1741" i="1" s="1"/>
  <c r="J1741" i="1" s="1"/>
  <c r="I1741" i="1"/>
  <c r="G1741" i="1"/>
  <c r="O1740" i="1"/>
  <c r="P1740" i="1" s="1"/>
  <c r="Q1740" i="1" s="1"/>
  <c r="S1740" i="1" s="1"/>
  <c r="J1740" i="1" s="1"/>
  <c r="I1740" i="1"/>
  <c r="G1740" i="1"/>
  <c r="O1739" i="1"/>
  <c r="P1739" i="1" s="1"/>
  <c r="Q1739" i="1" s="1"/>
  <c r="S1739" i="1" s="1"/>
  <c r="J1739" i="1" s="1"/>
  <c r="I1739" i="1"/>
  <c r="G1739" i="1"/>
  <c r="O1738" i="1"/>
  <c r="P1738" i="1" s="1"/>
  <c r="Q1738" i="1" s="1"/>
  <c r="S1738" i="1" s="1"/>
  <c r="J1738" i="1" s="1"/>
  <c r="I1738" i="1"/>
  <c r="G1738" i="1"/>
  <c r="B1738" i="1"/>
  <c r="B1739" i="1" s="1"/>
  <c r="B1740" i="1" s="1"/>
  <c r="B1741" i="1" s="1"/>
  <c r="B1742" i="1" s="1"/>
  <c r="B1743" i="1" s="1"/>
  <c r="B1744" i="1" s="1"/>
  <c r="B1745" i="1" s="1"/>
  <c r="B1746" i="1" s="1"/>
  <c r="B1747" i="1" s="1"/>
  <c r="B1748" i="1" s="1"/>
  <c r="B1749" i="1" s="1"/>
  <c r="B1750" i="1" s="1"/>
  <c r="B1751" i="1" s="1"/>
  <c r="B1752" i="1" s="1"/>
  <c r="B1753" i="1" s="1"/>
  <c r="B1754" i="1" s="1"/>
  <c r="B1755" i="1" s="1"/>
  <c r="B1756" i="1" s="1"/>
  <c r="B1757" i="1" s="1"/>
  <c r="B1758" i="1" s="1"/>
  <c r="B1759" i="1" s="1"/>
  <c r="B1760" i="1" s="1"/>
  <c r="B1761" i="1" s="1"/>
  <c r="B1762" i="1" s="1"/>
  <c r="B1763" i="1" s="1"/>
  <c r="B1764" i="1" s="1"/>
  <c r="B1765" i="1" s="1"/>
  <c r="B1766" i="1" s="1"/>
  <c r="B1767" i="1" s="1"/>
  <c r="B1768" i="1" s="1"/>
  <c r="B1769" i="1" s="1"/>
  <c r="B1770" i="1" s="1"/>
  <c r="B1771" i="1" s="1"/>
  <c r="B1772" i="1" s="1"/>
  <c r="B1773" i="1" s="1"/>
  <c r="B1774" i="1" s="1"/>
  <c r="B1775" i="1" s="1"/>
  <c r="B1776" i="1" s="1"/>
  <c r="B1777" i="1" s="1"/>
  <c r="B1778" i="1" s="1"/>
  <c r="B1779" i="1" s="1"/>
  <c r="B1780" i="1" s="1"/>
  <c r="B1781" i="1" s="1"/>
  <c r="B1782" i="1" s="1"/>
  <c r="B1783" i="1" s="1"/>
  <c r="B1784" i="1" s="1"/>
  <c r="B1785" i="1" s="1"/>
  <c r="B1786" i="1" s="1"/>
  <c r="B1787" i="1" s="1"/>
  <c r="B1788" i="1" s="1"/>
  <c r="O1737" i="1"/>
  <c r="P1737" i="1" s="1"/>
  <c r="Q1737" i="1" s="1"/>
  <c r="S1737" i="1" s="1"/>
  <c r="J1737" i="1" s="1"/>
  <c r="I1737" i="1"/>
  <c r="G1737" i="1"/>
  <c r="O1736" i="1"/>
  <c r="P1736" i="1" s="1"/>
  <c r="Q1736" i="1" s="1"/>
  <c r="S1736" i="1" s="1"/>
  <c r="J1736" i="1" s="1"/>
  <c r="G1736" i="1"/>
  <c r="O1735" i="1"/>
  <c r="P1735" i="1" s="1"/>
  <c r="Q1735" i="1" s="1"/>
  <c r="S1735" i="1" s="1"/>
  <c r="J1735" i="1" s="1"/>
  <c r="I1735" i="1"/>
  <c r="G1735" i="1"/>
  <c r="O1734" i="1"/>
  <c r="P1734" i="1" s="1"/>
  <c r="Q1734" i="1" s="1"/>
  <c r="S1734" i="1" s="1"/>
  <c r="J1734" i="1" s="1"/>
  <c r="G1734" i="1"/>
  <c r="O1733" i="1"/>
  <c r="P1733" i="1" s="1"/>
  <c r="Q1733" i="1" s="1"/>
  <c r="S1733" i="1" s="1"/>
  <c r="J1733" i="1" s="1"/>
  <c r="G1733" i="1"/>
  <c r="O1732" i="1"/>
  <c r="P1732" i="1" s="1"/>
  <c r="Q1732" i="1" s="1"/>
  <c r="S1732" i="1" s="1"/>
  <c r="J1732" i="1" s="1"/>
  <c r="O1731" i="1"/>
  <c r="P1731" i="1" s="1"/>
  <c r="Q1731" i="1" s="1"/>
  <c r="S1731" i="1" s="1"/>
  <c r="J1731" i="1" s="1"/>
  <c r="I1731" i="1"/>
  <c r="G1731" i="1"/>
  <c r="O1730" i="1"/>
  <c r="P1730" i="1" s="1"/>
  <c r="Q1730" i="1" s="1"/>
  <c r="S1730" i="1" s="1"/>
  <c r="J1730" i="1" s="1"/>
  <c r="I1730" i="1"/>
  <c r="G1730" i="1"/>
  <c r="O1729" i="1"/>
  <c r="P1729" i="1" s="1"/>
  <c r="Q1729" i="1" s="1"/>
  <c r="S1729" i="1" s="1"/>
  <c r="J1729" i="1" s="1"/>
  <c r="I1729" i="1"/>
  <c r="G1729" i="1"/>
  <c r="O1728" i="1"/>
  <c r="P1728" i="1" s="1"/>
  <c r="Q1728" i="1" s="1"/>
  <c r="S1728" i="1" s="1"/>
  <c r="J1728" i="1" s="1"/>
  <c r="I1728" i="1"/>
  <c r="G1728" i="1"/>
  <c r="O1727" i="1"/>
  <c r="P1727" i="1" s="1"/>
  <c r="Q1727" i="1" s="1"/>
  <c r="S1727" i="1" s="1"/>
  <c r="J1727" i="1" s="1"/>
  <c r="G1727" i="1"/>
  <c r="O1726" i="1"/>
  <c r="P1726" i="1" s="1"/>
  <c r="Q1726" i="1" s="1"/>
  <c r="S1726" i="1" s="1"/>
  <c r="J1726" i="1" s="1"/>
  <c r="I1726" i="1"/>
  <c r="G1726" i="1"/>
  <c r="O1725" i="1"/>
  <c r="P1725" i="1" s="1"/>
  <c r="Q1725" i="1" s="1"/>
  <c r="S1725" i="1" s="1"/>
  <c r="J1725" i="1" s="1"/>
  <c r="O1724" i="1"/>
  <c r="P1724" i="1" s="1"/>
  <c r="Q1724" i="1" s="1"/>
  <c r="S1724" i="1" s="1"/>
  <c r="J1724" i="1" s="1"/>
  <c r="O1723" i="1"/>
  <c r="P1723" i="1" s="1"/>
  <c r="Q1723" i="1" s="1"/>
  <c r="S1723" i="1" s="1"/>
  <c r="J1723" i="1" s="1"/>
  <c r="I1723" i="1"/>
  <c r="G1723" i="1"/>
  <c r="O1722" i="1"/>
  <c r="P1722" i="1" s="1"/>
  <c r="Q1722" i="1" s="1"/>
  <c r="S1722" i="1" s="1"/>
  <c r="J1722" i="1" s="1"/>
  <c r="I1722" i="1"/>
  <c r="G1722" i="1"/>
  <c r="O1721" i="1"/>
  <c r="P1721" i="1" s="1"/>
  <c r="Q1721" i="1" s="1"/>
  <c r="S1721" i="1" s="1"/>
  <c r="J1721" i="1" s="1"/>
  <c r="O1720" i="1"/>
  <c r="P1720" i="1" s="1"/>
  <c r="Q1720" i="1" s="1"/>
  <c r="S1720" i="1" s="1"/>
  <c r="J1720" i="1" s="1"/>
  <c r="O1719" i="1"/>
  <c r="P1719" i="1" s="1"/>
  <c r="Q1719" i="1" s="1"/>
  <c r="S1719" i="1" s="1"/>
  <c r="J1719" i="1" s="1"/>
  <c r="O1718" i="1"/>
  <c r="P1718" i="1" s="1"/>
  <c r="Q1718" i="1" s="1"/>
  <c r="S1718" i="1" s="1"/>
  <c r="J1718" i="1" s="1"/>
  <c r="O1717" i="1"/>
  <c r="P1717" i="1" s="1"/>
  <c r="Q1717" i="1" s="1"/>
  <c r="S1717" i="1" s="1"/>
  <c r="J1717" i="1" s="1"/>
  <c r="I1717" i="1"/>
  <c r="G1717" i="1"/>
  <c r="O1716" i="1"/>
  <c r="P1716" i="1" s="1"/>
  <c r="Q1716" i="1" s="1"/>
  <c r="S1716" i="1" s="1"/>
  <c r="J1716" i="1" s="1"/>
  <c r="O1715" i="1"/>
  <c r="P1715" i="1" s="1"/>
  <c r="Q1715" i="1" s="1"/>
  <c r="S1715" i="1" s="1"/>
  <c r="J1715" i="1" s="1"/>
  <c r="O1714" i="1"/>
  <c r="P1714" i="1" s="1"/>
  <c r="Q1714" i="1" s="1"/>
  <c r="S1714" i="1" s="1"/>
  <c r="J1714" i="1" s="1"/>
  <c r="I1714" i="1"/>
  <c r="G1714" i="1"/>
  <c r="O1713" i="1"/>
  <c r="P1713" i="1" s="1"/>
  <c r="Q1713" i="1" s="1"/>
  <c r="S1713" i="1" s="1"/>
  <c r="J1713" i="1" s="1"/>
  <c r="I1713" i="1"/>
  <c r="G1713" i="1"/>
  <c r="O1712" i="1"/>
  <c r="P1712" i="1" s="1"/>
  <c r="Q1712" i="1" s="1"/>
  <c r="S1712" i="1" s="1"/>
  <c r="J1712" i="1" s="1"/>
  <c r="O1711" i="1"/>
  <c r="P1711" i="1" s="1"/>
  <c r="Q1711" i="1" s="1"/>
  <c r="S1711" i="1" s="1"/>
  <c r="J1711" i="1" s="1"/>
  <c r="O1710" i="1"/>
  <c r="P1710" i="1" s="1"/>
  <c r="Q1710" i="1" s="1"/>
  <c r="S1710" i="1" s="1"/>
  <c r="J1710" i="1" s="1"/>
  <c r="O1709" i="1"/>
  <c r="P1709" i="1" s="1"/>
  <c r="Q1709" i="1" s="1"/>
  <c r="S1709" i="1" s="1"/>
  <c r="J1709" i="1" s="1"/>
  <c r="I1709" i="1"/>
  <c r="G1709" i="1"/>
  <c r="O1708" i="1"/>
  <c r="P1708" i="1" s="1"/>
  <c r="Q1708" i="1" s="1"/>
  <c r="S1708" i="1" s="1"/>
  <c r="J1708" i="1" s="1"/>
  <c r="I1708" i="1"/>
  <c r="G1708" i="1"/>
  <c r="O1707" i="1"/>
  <c r="P1707" i="1" s="1"/>
  <c r="Q1707" i="1" s="1"/>
  <c r="S1707" i="1" s="1"/>
  <c r="J1707" i="1" s="1"/>
  <c r="O1706" i="1"/>
  <c r="P1706" i="1" s="1"/>
  <c r="Q1706" i="1" s="1"/>
  <c r="S1706" i="1" s="1"/>
  <c r="J1706" i="1" s="1"/>
  <c r="I1706" i="1"/>
  <c r="G1706" i="1"/>
  <c r="O1705" i="1"/>
  <c r="P1705" i="1" s="1"/>
  <c r="Q1705" i="1" s="1"/>
  <c r="S1705" i="1" s="1"/>
  <c r="J1705" i="1" s="1"/>
  <c r="O1704" i="1"/>
  <c r="P1704" i="1" s="1"/>
  <c r="Q1704" i="1" s="1"/>
  <c r="S1704" i="1" s="1"/>
  <c r="J1704" i="1" s="1"/>
  <c r="O1703" i="1"/>
  <c r="P1703" i="1" s="1"/>
  <c r="Q1703" i="1" s="1"/>
  <c r="S1703" i="1" s="1"/>
  <c r="J1703" i="1" s="1"/>
  <c r="O1702" i="1"/>
  <c r="P1702" i="1" s="1"/>
  <c r="Q1702" i="1" s="1"/>
  <c r="S1702" i="1" s="1"/>
  <c r="J1702" i="1" s="1"/>
  <c r="O1701" i="1"/>
  <c r="P1701" i="1" s="1"/>
  <c r="Q1701" i="1" s="1"/>
  <c r="S1701" i="1" s="1"/>
  <c r="J1701" i="1" s="1"/>
  <c r="I1701" i="1"/>
  <c r="G1701" i="1"/>
  <c r="O1700" i="1"/>
  <c r="P1700" i="1" s="1"/>
  <c r="Q1700" i="1" s="1"/>
  <c r="S1700" i="1" s="1"/>
  <c r="J1700" i="1" s="1"/>
  <c r="O1699" i="1"/>
  <c r="P1699" i="1" s="1"/>
  <c r="Q1699" i="1" s="1"/>
  <c r="S1699" i="1" s="1"/>
  <c r="J1699" i="1" s="1"/>
  <c r="O1698" i="1"/>
  <c r="P1698" i="1" s="1"/>
  <c r="Q1698" i="1" s="1"/>
  <c r="S1698" i="1" s="1"/>
  <c r="J1698" i="1" s="1"/>
  <c r="O1697" i="1"/>
  <c r="P1697" i="1" s="1"/>
  <c r="Q1697" i="1" s="1"/>
  <c r="S1697" i="1" s="1"/>
  <c r="J1697" i="1" s="1"/>
  <c r="I1697" i="1"/>
  <c r="G1697" i="1"/>
  <c r="O1696" i="1"/>
  <c r="P1696" i="1" s="1"/>
  <c r="Q1696" i="1" s="1"/>
  <c r="S1696" i="1" s="1"/>
  <c r="J1696" i="1" s="1"/>
  <c r="I1696" i="1"/>
  <c r="G1696" i="1"/>
  <c r="O1695" i="1"/>
  <c r="P1695" i="1" s="1"/>
  <c r="Q1695" i="1" s="1"/>
  <c r="S1695" i="1" s="1"/>
  <c r="J1695" i="1" s="1"/>
  <c r="O1694" i="1"/>
  <c r="P1694" i="1" s="1"/>
  <c r="Q1694" i="1" s="1"/>
  <c r="S1694" i="1" s="1"/>
  <c r="J1694" i="1" s="1"/>
  <c r="I1694" i="1"/>
  <c r="G1694" i="1"/>
  <c r="O1693" i="1"/>
  <c r="P1693" i="1" s="1"/>
  <c r="Q1693" i="1" s="1"/>
  <c r="S1693" i="1" s="1"/>
  <c r="J1693" i="1" s="1"/>
  <c r="I1693" i="1"/>
  <c r="G1693" i="1"/>
  <c r="O1692" i="1"/>
  <c r="P1692" i="1" s="1"/>
  <c r="Q1692" i="1" s="1"/>
  <c r="S1692" i="1" s="1"/>
  <c r="J1692" i="1" s="1"/>
  <c r="O1691" i="1"/>
  <c r="P1691" i="1" s="1"/>
  <c r="Q1691" i="1" s="1"/>
  <c r="S1691" i="1" s="1"/>
  <c r="J1691" i="1" s="1"/>
  <c r="O1690" i="1"/>
  <c r="P1690" i="1" s="1"/>
  <c r="Q1690" i="1" s="1"/>
  <c r="S1690" i="1" s="1"/>
  <c r="J1690" i="1" s="1"/>
  <c r="O1689" i="1"/>
  <c r="P1689" i="1" s="1"/>
  <c r="Q1689" i="1" s="1"/>
  <c r="S1689" i="1" s="1"/>
  <c r="J1689" i="1" s="1"/>
  <c r="I1689" i="1"/>
  <c r="G1689" i="1"/>
  <c r="O1688" i="1"/>
  <c r="P1688" i="1" s="1"/>
  <c r="Q1688" i="1" s="1"/>
  <c r="S1688" i="1" s="1"/>
  <c r="J1688" i="1" s="1"/>
  <c r="O1687" i="1"/>
  <c r="P1687" i="1" s="1"/>
  <c r="Q1687" i="1" s="1"/>
  <c r="S1687" i="1" s="1"/>
  <c r="J1687" i="1" s="1"/>
  <c r="O1686" i="1"/>
  <c r="P1686" i="1" s="1"/>
  <c r="Q1686" i="1" s="1"/>
  <c r="S1686" i="1" s="1"/>
  <c r="J1686" i="1" s="1"/>
  <c r="O1685" i="1"/>
  <c r="P1685" i="1" s="1"/>
  <c r="Q1685" i="1" s="1"/>
  <c r="S1685" i="1" s="1"/>
  <c r="J1685" i="1" s="1"/>
  <c r="O1684" i="1"/>
  <c r="P1684" i="1" s="1"/>
  <c r="Q1684" i="1" s="1"/>
  <c r="S1684" i="1" s="1"/>
  <c r="J1684" i="1" s="1"/>
  <c r="O1683" i="1"/>
  <c r="P1683" i="1" s="1"/>
  <c r="Q1683" i="1" s="1"/>
  <c r="S1683" i="1" s="1"/>
  <c r="J1683" i="1" s="1"/>
  <c r="O1682" i="1"/>
  <c r="P1682" i="1" s="1"/>
  <c r="Q1682" i="1" s="1"/>
  <c r="S1682" i="1" s="1"/>
  <c r="J1682" i="1" s="1"/>
  <c r="I1682" i="1"/>
  <c r="G1682" i="1"/>
  <c r="O1681" i="1"/>
  <c r="P1681" i="1" s="1"/>
  <c r="Q1681" i="1" s="1"/>
  <c r="S1681" i="1" s="1"/>
  <c r="J1681" i="1" s="1"/>
  <c r="O1680" i="1"/>
  <c r="P1680" i="1" s="1"/>
  <c r="Q1680" i="1" s="1"/>
  <c r="S1680" i="1" s="1"/>
  <c r="J1680" i="1" s="1"/>
  <c r="O1679" i="1"/>
  <c r="P1679" i="1" s="1"/>
  <c r="Q1679" i="1" s="1"/>
  <c r="S1679" i="1" s="1"/>
  <c r="J1679" i="1" s="1"/>
  <c r="I1679" i="1"/>
  <c r="G1679" i="1"/>
  <c r="O1678" i="1"/>
  <c r="P1678" i="1" s="1"/>
  <c r="Q1678" i="1" s="1"/>
  <c r="S1678" i="1" s="1"/>
  <c r="J1678" i="1" s="1"/>
  <c r="I1678" i="1"/>
  <c r="G1678" i="1"/>
  <c r="O1677" i="1"/>
  <c r="P1677" i="1" s="1"/>
  <c r="Q1677" i="1" s="1"/>
  <c r="S1677" i="1" s="1"/>
  <c r="J1677" i="1" s="1"/>
  <c r="I1677" i="1"/>
  <c r="G1677" i="1"/>
  <c r="O1676" i="1"/>
  <c r="P1676" i="1" s="1"/>
  <c r="Q1676" i="1" s="1"/>
  <c r="S1676" i="1" s="1"/>
  <c r="J1676" i="1" s="1"/>
  <c r="I1676" i="1"/>
  <c r="G1676" i="1"/>
  <c r="O1675" i="1"/>
  <c r="P1675" i="1" s="1"/>
  <c r="Q1675" i="1" s="1"/>
  <c r="S1675" i="1" s="1"/>
  <c r="J1675" i="1" s="1"/>
  <c r="I1675" i="1"/>
  <c r="G1675" i="1"/>
  <c r="O1674" i="1"/>
  <c r="P1674" i="1" s="1"/>
  <c r="Q1674" i="1" s="1"/>
  <c r="S1674" i="1" s="1"/>
  <c r="J1674" i="1" s="1"/>
  <c r="I1674" i="1"/>
  <c r="G1674" i="1"/>
  <c r="O1673" i="1"/>
  <c r="P1673" i="1" s="1"/>
  <c r="Q1673" i="1" s="1"/>
  <c r="S1673" i="1" s="1"/>
  <c r="J1673" i="1" s="1"/>
  <c r="I1673" i="1"/>
  <c r="G1673" i="1"/>
  <c r="O1672" i="1"/>
  <c r="P1672" i="1" s="1"/>
  <c r="Q1672" i="1" s="1"/>
  <c r="S1672" i="1" s="1"/>
  <c r="J1672" i="1" s="1"/>
  <c r="I1672" i="1"/>
  <c r="G1672" i="1"/>
  <c r="O1671" i="1"/>
  <c r="P1671" i="1" s="1"/>
  <c r="Q1671" i="1" s="1"/>
  <c r="S1671" i="1" s="1"/>
  <c r="J1671" i="1" s="1"/>
  <c r="I1671" i="1"/>
  <c r="G1671" i="1"/>
  <c r="O1670" i="1"/>
  <c r="P1670" i="1" s="1"/>
  <c r="Q1670" i="1" s="1"/>
  <c r="S1670" i="1" s="1"/>
  <c r="J1670" i="1" s="1"/>
  <c r="G1670" i="1"/>
  <c r="O1669" i="1"/>
  <c r="P1669" i="1" s="1"/>
  <c r="Q1669" i="1" s="1"/>
  <c r="S1669" i="1" s="1"/>
  <c r="J1669" i="1" s="1"/>
  <c r="I1669" i="1"/>
  <c r="G1669" i="1"/>
  <c r="O1668" i="1"/>
  <c r="P1668" i="1" s="1"/>
  <c r="Q1668" i="1" s="1"/>
  <c r="S1668" i="1" s="1"/>
  <c r="J1668" i="1" s="1"/>
  <c r="O1667" i="1"/>
  <c r="P1667" i="1" s="1"/>
  <c r="Q1667" i="1" s="1"/>
  <c r="S1667" i="1" s="1"/>
  <c r="J1667" i="1" s="1"/>
  <c r="O1666" i="1"/>
  <c r="P1666" i="1" s="1"/>
  <c r="Q1666" i="1" s="1"/>
  <c r="S1666" i="1" s="1"/>
  <c r="J1666" i="1" s="1"/>
  <c r="I1666" i="1"/>
  <c r="G1666" i="1"/>
  <c r="O1665" i="1"/>
  <c r="P1665" i="1" s="1"/>
  <c r="Q1665" i="1" s="1"/>
  <c r="S1665" i="1" s="1"/>
  <c r="J1665" i="1" s="1"/>
  <c r="O1664" i="1"/>
  <c r="P1664" i="1" s="1"/>
  <c r="Q1664" i="1" s="1"/>
  <c r="S1664" i="1" s="1"/>
  <c r="J1664" i="1" s="1"/>
  <c r="O1663" i="1"/>
  <c r="P1663" i="1" s="1"/>
  <c r="Q1663" i="1" s="1"/>
  <c r="S1663" i="1" s="1"/>
  <c r="J1663" i="1" s="1"/>
  <c r="I1663" i="1"/>
  <c r="G1663" i="1"/>
  <c r="O1662" i="1"/>
  <c r="P1662" i="1" s="1"/>
  <c r="Q1662" i="1" s="1"/>
  <c r="S1662" i="1" s="1"/>
  <c r="J1662" i="1" s="1"/>
  <c r="I1662" i="1"/>
  <c r="G1662" i="1"/>
  <c r="O1661" i="1"/>
  <c r="P1661" i="1" s="1"/>
  <c r="Q1661" i="1" s="1"/>
  <c r="S1661" i="1" s="1"/>
  <c r="J1661" i="1" s="1"/>
  <c r="O1660" i="1"/>
  <c r="P1660" i="1" s="1"/>
  <c r="Q1660" i="1" s="1"/>
  <c r="S1660" i="1" s="1"/>
  <c r="J1660" i="1" s="1"/>
  <c r="O1659" i="1"/>
  <c r="P1659" i="1" s="1"/>
  <c r="Q1659" i="1" s="1"/>
  <c r="S1659" i="1" s="1"/>
  <c r="J1659" i="1" s="1"/>
  <c r="O1658" i="1"/>
  <c r="P1658" i="1" s="1"/>
  <c r="Q1658" i="1" s="1"/>
  <c r="S1658" i="1" s="1"/>
  <c r="J1658" i="1" s="1"/>
  <c r="I1658" i="1"/>
  <c r="G1658" i="1"/>
  <c r="O1657" i="1"/>
  <c r="P1657" i="1" s="1"/>
  <c r="Q1657" i="1" s="1"/>
  <c r="S1657" i="1" s="1"/>
  <c r="J1657" i="1" s="1"/>
  <c r="I1657" i="1"/>
  <c r="G1657" i="1"/>
  <c r="O1656" i="1"/>
  <c r="P1656" i="1" s="1"/>
  <c r="Q1656" i="1" s="1"/>
  <c r="S1656" i="1" s="1"/>
  <c r="J1656" i="1" s="1"/>
  <c r="I1656" i="1"/>
  <c r="G1656" i="1"/>
  <c r="O1655" i="1"/>
  <c r="P1655" i="1" s="1"/>
  <c r="Q1655" i="1" s="1"/>
  <c r="S1655" i="1" s="1"/>
  <c r="J1655" i="1" s="1"/>
  <c r="I1655" i="1"/>
  <c r="G1655" i="1"/>
  <c r="O1654" i="1"/>
  <c r="P1654" i="1" s="1"/>
  <c r="Q1654" i="1" s="1"/>
  <c r="S1654" i="1" s="1"/>
  <c r="J1654" i="1" s="1"/>
  <c r="I1654" i="1"/>
  <c r="G1654" i="1"/>
  <c r="O1653" i="1"/>
  <c r="P1653" i="1" s="1"/>
  <c r="Q1653" i="1" s="1"/>
  <c r="S1653" i="1" s="1"/>
  <c r="J1653" i="1" s="1"/>
  <c r="I1653" i="1"/>
  <c r="G1653" i="1"/>
  <c r="O1652" i="1"/>
  <c r="P1652" i="1" s="1"/>
  <c r="Q1652" i="1" s="1"/>
  <c r="S1652" i="1" s="1"/>
  <c r="J1652" i="1" s="1"/>
  <c r="I1652" i="1"/>
  <c r="G1652" i="1"/>
  <c r="O1651" i="1"/>
  <c r="P1651" i="1" s="1"/>
  <c r="Q1651" i="1" s="1"/>
  <c r="S1651" i="1" s="1"/>
  <c r="J1651" i="1" s="1"/>
  <c r="I1651" i="1"/>
  <c r="G1651" i="1"/>
  <c r="O1650" i="1"/>
  <c r="P1650" i="1" s="1"/>
  <c r="Q1650" i="1" s="1"/>
  <c r="S1650" i="1" s="1"/>
  <c r="J1650" i="1" s="1"/>
  <c r="I1650" i="1"/>
  <c r="G1650" i="1"/>
  <c r="O1649" i="1"/>
  <c r="P1649" i="1" s="1"/>
  <c r="Q1649" i="1" s="1"/>
  <c r="S1649" i="1" s="1"/>
  <c r="J1649" i="1" s="1"/>
  <c r="I1649" i="1"/>
  <c r="G1649" i="1"/>
  <c r="O1648" i="1"/>
  <c r="P1648" i="1" s="1"/>
  <c r="Q1648" i="1" s="1"/>
  <c r="S1648" i="1" s="1"/>
  <c r="J1648" i="1" s="1"/>
  <c r="O1647" i="1"/>
  <c r="P1647" i="1" s="1"/>
  <c r="Q1647" i="1" s="1"/>
  <c r="S1647" i="1" s="1"/>
  <c r="J1647" i="1" s="1"/>
  <c r="O1646" i="1"/>
  <c r="P1646" i="1" s="1"/>
  <c r="Q1646" i="1" s="1"/>
  <c r="S1646" i="1" s="1"/>
  <c r="J1646" i="1" s="1"/>
  <c r="I1646" i="1"/>
  <c r="G1646" i="1"/>
  <c r="O1645" i="1"/>
  <c r="P1645" i="1" s="1"/>
  <c r="Q1645" i="1" s="1"/>
  <c r="S1645" i="1" s="1"/>
  <c r="J1645" i="1" s="1"/>
  <c r="O1644" i="1"/>
  <c r="P1644" i="1" s="1"/>
  <c r="Q1644" i="1" s="1"/>
  <c r="S1644" i="1" s="1"/>
  <c r="J1644" i="1" s="1"/>
  <c r="O1643" i="1"/>
  <c r="P1643" i="1" s="1"/>
  <c r="Q1643" i="1" s="1"/>
  <c r="S1643" i="1" s="1"/>
  <c r="J1643" i="1" s="1"/>
  <c r="O1642" i="1"/>
  <c r="P1642" i="1" s="1"/>
  <c r="Q1642" i="1" s="1"/>
  <c r="S1642" i="1" s="1"/>
  <c r="J1642" i="1" s="1"/>
  <c r="I1642" i="1"/>
  <c r="G1642" i="1"/>
  <c r="O1641" i="1"/>
  <c r="P1641" i="1" s="1"/>
  <c r="Q1641" i="1" s="1"/>
  <c r="S1641" i="1" s="1"/>
  <c r="J1641" i="1" s="1"/>
  <c r="O1640" i="1"/>
  <c r="P1640" i="1" s="1"/>
  <c r="Q1640" i="1" s="1"/>
  <c r="S1640" i="1" s="1"/>
  <c r="J1640" i="1" s="1"/>
  <c r="I1640" i="1"/>
  <c r="G1640" i="1"/>
  <c r="O1639" i="1"/>
  <c r="P1639" i="1" s="1"/>
  <c r="Q1639" i="1" s="1"/>
  <c r="S1639" i="1" s="1"/>
  <c r="J1639" i="1" s="1"/>
  <c r="I1639" i="1"/>
  <c r="G1639" i="1"/>
  <c r="O1638" i="1"/>
  <c r="P1638" i="1" s="1"/>
  <c r="Q1638" i="1" s="1"/>
  <c r="S1638" i="1" s="1"/>
  <c r="J1638" i="1" s="1"/>
  <c r="I1638" i="1"/>
  <c r="G1638" i="1"/>
  <c r="O1637" i="1"/>
  <c r="P1637" i="1" s="1"/>
  <c r="Q1637" i="1" s="1"/>
  <c r="S1637" i="1" s="1"/>
  <c r="J1637" i="1" s="1"/>
  <c r="I1637" i="1"/>
  <c r="G1637" i="1"/>
  <c r="O1636" i="1"/>
  <c r="P1636" i="1" s="1"/>
  <c r="Q1636" i="1" s="1"/>
  <c r="S1636" i="1" s="1"/>
  <c r="J1636" i="1" s="1"/>
  <c r="I1636" i="1"/>
  <c r="G1636" i="1"/>
  <c r="O1635" i="1"/>
  <c r="P1635" i="1" s="1"/>
  <c r="Q1635" i="1" s="1"/>
  <c r="S1635" i="1" s="1"/>
  <c r="J1635" i="1" s="1"/>
  <c r="O1634" i="1"/>
  <c r="P1634" i="1" s="1"/>
  <c r="Q1634" i="1" s="1"/>
  <c r="S1634" i="1" s="1"/>
  <c r="J1634" i="1" s="1"/>
  <c r="O1633" i="1"/>
  <c r="P1633" i="1" s="1"/>
  <c r="Q1633" i="1" s="1"/>
  <c r="S1633" i="1" s="1"/>
  <c r="J1633" i="1" s="1"/>
  <c r="O1632" i="1"/>
  <c r="P1632" i="1" s="1"/>
  <c r="Q1632" i="1" s="1"/>
  <c r="S1632" i="1" s="1"/>
  <c r="J1632" i="1" s="1"/>
  <c r="O1631" i="1"/>
  <c r="P1631" i="1" s="1"/>
  <c r="Q1631" i="1" s="1"/>
  <c r="S1631" i="1" s="1"/>
  <c r="J1631" i="1" s="1"/>
  <c r="O1630" i="1"/>
  <c r="P1630" i="1" s="1"/>
  <c r="Q1630" i="1" s="1"/>
  <c r="S1630" i="1" s="1"/>
  <c r="J1630" i="1" s="1"/>
  <c r="O1629" i="1"/>
  <c r="P1629" i="1" s="1"/>
  <c r="Q1629" i="1" s="1"/>
  <c r="S1629" i="1" s="1"/>
  <c r="J1629" i="1" s="1"/>
  <c r="Y1628" i="1"/>
  <c r="O1628" i="1"/>
  <c r="P1628" i="1" s="1"/>
  <c r="Q1628" i="1" s="1"/>
  <c r="S1628" i="1" s="1"/>
  <c r="K1628" i="1"/>
  <c r="O1627" i="1"/>
  <c r="P1627" i="1" s="1"/>
  <c r="Q1627" i="1" s="1"/>
  <c r="S1627" i="1" s="1"/>
  <c r="J1627" i="1" s="1"/>
  <c r="I1627" i="1"/>
  <c r="G1627" i="1"/>
  <c r="O1626" i="1"/>
  <c r="P1626" i="1" s="1"/>
  <c r="Q1626" i="1" s="1"/>
  <c r="S1626" i="1" s="1"/>
  <c r="J1626" i="1" s="1"/>
  <c r="I1626" i="1"/>
  <c r="G1626" i="1"/>
  <c r="O1625" i="1"/>
  <c r="P1625" i="1" s="1"/>
  <c r="Q1625" i="1" s="1"/>
  <c r="S1625" i="1" s="1"/>
  <c r="J1625" i="1" s="1"/>
  <c r="I1625" i="1"/>
  <c r="G1625" i="1"/>
  <c r="O1624" i="1"/>
  <c r="P1624" i="1" s="1"/>
  <c r="Q1624" i="1" s="1"/>
  <c r="S1624" i="1" s="1"/>
  <c r="J1624" i="1" s="1"/>
  <c r="O1623" i="1"/>
  <c r="P1623" i="1" s="1"/>
  <c r="Q1623" i="1" s="1"/>
  <c r="S1623" i="1" s="1"/>
  <c r="J1623" i="1" s="1"/>
  <c r="O1622" i="1"/>
  <c r="P1622" i="1" s="1"/>
  <c r="Q1622" i="1" s="1"/>
  <c r="S1622" i="1" s="1"/>
  <c r="J1622" i="1" s="1"/>
  <c r="I1622" i="1"/>
  <c r="G1622" i="1"/>
  <c r="O1621" i="1"/>
  <c r="P1621" i="1" s="1"/>
  <c r="Q1621" i="1" s="1"/>
  <c r="S1621" i="1" s="1"/>
  <c r="J1621" i="1" s="1"/>
  <c r="O1620" i="1"/>
  <c r="P1620" i="1" s="1"/>
  <c r="Q1620" i="1" s="1"/>
  <c r="S1620" i="1" s="1"/>
  <c r="J1620" i="1" s="1"/>
  <c r="I1620" i="1"/>
  <c r="G1620" i="1"/>
  <c r="O1619" i="1"/>
  <c r="P1619" i="1" s="1"/>
  <c r="Q1619" i="1" s="1"/>
  <c r="S1619" i="1" s="1"/>
  <c r="J1619" i="1" s="1"/>
  <c r="O1618" i="1"/>
  <c r="P1618" i="1" s="1"/>
  <c r="Q1618" i="1" s="1"/>
  <c r="S1618" i="1" s="1"/>
  <c r="J1618" i="1" s="1"/>
  <c r="O1617" i="1"/>
  <c r="P1617" i="1" s="1"/>
  <c r="Q1617" i="1" s="1"/>
  <c r="S1617" i="1" s="1"/>
  <c r="J1617" i="1" s="1"/>
  <c r="I1617" i="1"/>
  <c r="G1617" i="1"/>
  <c r="O1616" i="1"/>
  <c r="P1616" i="1" s="1"/>
  <c r="Q1616" i="1" s="1"/>
  <c r="S1616" i="1" s="1"/>
  <c r="J1616" i="1" s="1"/>
  <c r="I1616" i="1"/>
  <c r="G1616" i="1"/>
  <c r="O1615" i="1"/>
  <c r="P1615" i="1" s="1"/>
  <c r="Q1615" i="1" s="1"/>
  <c r="S1615" i="1" s="1"/>
  <c r="J1615" i="1" s="1"/>
  <c r="O1614" i="1"/>
  <c r="P1614" i="1" s="1"/>
  <c r="Q1614" i="1" s="1"/>
  <c r="S1614" i="1" s="1"/>
  <c r="J1614" i="1" s="1"/>
  <c r="I1614" i="1"/>
  <c r="G1614" i="1"/>
  <c r="O1613" i="1"/>
  <c r="P1613" i="1" s="1"/>
  <c r="Q1613" i="1" s="1"/>
  <c r="S1613" i="1" s="1"/>
  <c r="J1613" i="1" s="1"/>
  <c r="I1613" i="1"/>
  <c r="G1613" i="1"/>
  <c r="O1612" i="1"/>
  <c r="P1612" i="1" s="1"/>
  <c r="Q1612" i="1" s="1"/>
  <c r="S1612" i="1" s="1"/>
  <c r="J1612" i="1" s="1"/>
  <c r="I1612" i="1"/>
  <c r="G1612" i="1"/>
  <c r="O1611" i="1"/>
  <c r="P1611" i="1" s="1"/>
  <c r="Q1611" i="1" s="1"/>
  <c r="S1611" i="1" s="1"/>
  <c r="J1611" i="1" s="1"/>
  <c r="I1611" i="1"/>
  <c r="G1611" i="1"/>
  <c r="O1610" i="1"/>
  <c r="P1610" i="1" s="1"/>
  <c r="Q1610" i="1" s="1"/>
  <c r="S1610" i="1" s="1"/>
  <c r="J1610" i="1" s="1"/>
  <c r="I1610" i="1"/>
  <c r="G1610" i="1"/>
  <c r="O1609" i="1"/>
  <c r="P1609" i="1" s="1"/>
  <c r="Q1609" i="1" s="1"/>
  <c r="S1609" i="1" s="1"/>
  <c r="J1609" i="1" s="1"/>
  <c r="I1609" i="1"/>
  <c r="G1609" i="1"/>
  <c r="O1608" i="1"/>
  <c r="P1608" i="1" s="1"/>
  <c r="Q1608" i="1" s="1"/>
  <c r="S1608" i="1" s="1"/>
  <c r="J1608" i="1" s="1"/>
  <c r="I1608" i="1"/>
  <c r="G1608" i="1"/>
  <c r="O1607" i="1"/>
  <c r="P1607" i="1" s="1"/>
  <c r="Q1607" i="1" s="1"/>
  <c r="S1607" i="1" s="1"/>
  <c r="J1607" i="1" s="1"/>
  <c r="I1607" i="1"/>
  <c r="G1607" i="1"/>
  <c r="O1606" i="1"/>
  <c r="P1606" i="1" s="1"/>
  <c r="Q1606" i="1" s="1"/>
  <c r="S1606" i="1" s="1"/>
  <c r="J1606" i="1" s="1"/>
  <c r="I1606" i="1"/>
  <c r="G1606" i="1"/>
  <c r="O1605" i="1"/>
  <c r="P1605" i="1" s="1"/>
  <c r="Q1605" i="1" s="1"/>
  <c r="S1605" i="1" s="1"/>
  <c r="J1605" i="1" s="1"/>
  <c r="I1605" i="1"/>
  <c r="G1605" i="1"/>
  <c r="O1604" i="1"/>
  <c r="P1604" i="1" s="1"/>
  <c r="Q1604" i="1" s="1"/>
  <c r="S1604" i="1" s="1"/>
  <c r="J1604" i="1" s="1"/>
  <c r="I1604" i="1"/>
  <c r="G1604" i="1"/>
  <c r="O1603" i="1"/>
  <c r="P1603" i="1" s="1"/>
  <c r="Q1603" i="1" s="1"/>
  <c r="S1603" i="1" s="1"/>
  <c r="J1603" i="1" s="1"/>
  <c r="I1603" i="1"/>
  <c r="G1603" i="1"/>
  <c r="O1602" i="1"/>
  <c r="P1602" i="1" s="1"/>
  <c r="Q1602" i="1" s="1"/>
  <c r="S1602" i="1" s="1"/>
  <c r="J1602" i="1" s="1"/>
  <c r="I1602" i="1"/>
  <c r="G1602" i="1"/>
  <c r="O1601" i="1"/>
  <c r="P1601" i="1" s="1"/>
  <c r="Q1601" i="1" s="1"/>
  <c r="S1601" i="1" s="1"/>
  <c r="J1601" i="1" s="1"/>
  <c r="I1601" i="1"/>
  <c r="G1601" i="1"/>
  <c r="O1600" i="1"/>
  <c r="P1600" i="1" s="1"/>
  <c r="Q1600" i="1" s="1"/>
  <c r="S1600" i="1" s="1"/>
  <c r="J1600" i="1" s="1"/>
  <c r="O1599" i="1"/>
  <c r="P1599" i="1" s="1"/>
  <c r="Q1599" i="1" s="1"/>
  <c r="S1599" i="1" s="1"/>
  <c r="J1599" i="1" s="1"/>
  <c r="I1599" i="1"/>
  <c r="G1599" i="1"/>
  <c r="O1598" i="1"/>
  <c r="P1598" i="1" s="1"/>
  <c r="Q1598" i="1" s="1"/>
  <c r="S1598" i="1" s="1"/>
  <c r="J1598" i="1" s="1"/>
  <c r="I1598" i="1"/>
  <c r="G1598" i="1"/>
  <c r="O1597" i="1"/>
  <c r="P1597" i="1" s="1"/>
  <c r="Q1597" i="1" s="1"/>
  <c r="S1597" i="1" s="1"/>
  <c r="J1597" i="1" s="1"/>
  <c r="I1597" i="1"/>
  <c r="G1597" i="1"/>
  <c r="O1596" i="1"/>
  <c r="P1596" i="1" s="1"/>
  <c r="Q1596" i="1" s="1"/>
  <c r="S1596" i="1" s="1"/>
  <c r="J1596" i="1" s="1"/>
  <c r="I1596" i="1"/>
  <c r="G1596" i="1"/>
  <c r="O1595" i="1"/>
  <c r="P1595" i="1" s="1"/>
  <c r="Q1595" i="1" s="1"/>
  <c r="S1595" i="1" s="1"/>
  <c r="J1595" i="1" s="1"/>
  <c r="I1595" i="1"/>
  <c r="G1595" i="1"/>
  <c r="O1594" i="1"/>
  <c r="P1594" i="1" s="1"/>
  <c r="Q1594" i="1" s="1"/>
  <c r="S1594" i="1" s="1"/>
  <c r="J1594" i="1" s="1"/>
  <c r="O1593" i="1"/>
  <c r="P1593" i="1" s="1"/>
  <c r="Q1593" i="1" s="1"/>
  <c r="S1593" i="1" s="1"/>
  <c r="J1593" i="1" s="1"/>
  <c r="I1593" i="1"/>
  <c r="G1593" i="1"/>
  <c r="O1592" i="1"/>
  <c r="P1592" i="1" s="1"/>
  <c r="Q1592" i="1" s="1"/>
  <c r="S1592" i="1" s="1"/>
  <c r="J1592" i="1" s="1"/>
  <c r="I1592" i="1"/>
  <c r="G1592" i="1"/>
  <c r="O1591" i="1"/>
  <c r="P1591" i="1" s="1"/>
  <c r="Q1591" i="1" s="1"/>
  <c r="S1591" i="1" s="1"/>
  <c r="J1591" i="1" s="1"/>
  <c r="I1591" i="1"/>
  <c r="G1591" i="1"/>
  <c r="O1590" i="1"/>
  <c r="P1590" i="1" s="1"/>
  <c r="Q1590" i="1" s="1"/>
  <c r="S1590" i="1" s="1"/>
  <c r="J1590" i="1" s="1"/>
  <c r="I1590" i="1"/>
  <c r="G1590" i="1"/>
  <c r="O1589" i="1"/>
  <c r="P1589" i="1" s="1"/>
  <c r="Q1589" i="1" s="1"/>
  <c r="S1589" i="1" s="1"/>
  <c r="J1589" i="1" s="1"/>
  <c r="I1589" i="1"/>
  <c r="G1589" i="1"/>
  <c r="O1588" i="1"/>
  <c r="P1588" i="1" s="1"/>
  <c r="Q1588" i="1" s="1"/>
  <c r="S1588" i="1" s="1"/>
  <c r="J1588" i="1" s="1"/>
  <c r="I1588" i="1"/>
  <c r="G1588" i="1"/>
  <c r="O1587" i="1"/>
  <c r="P1587" i="1" s="1"/>
  <c r="Q1587" i="1" s="1"/>
  <c r="S1587" i="1" s="1"/>
  <c r="J1587" i="1" s="1"/>
  <c r="O1586" i="1"/>
  <c r="P1586" i="1" s="1"/>
  <c r="Q1586" i="1" s="1"/>
  <c r="S1586" i="1" s="1"/>
  <c r="J1586" i="1" s="1"/>
  <c r="O1585" i="1"/>
  <c r="P1585" i="1" s="1"/>
  <c r="Q1585" i="1" s="1"/>
  <c r="S1585" i="1" s="1"/>
  <c r="J1585" i="1" s="1"/>
  <c r="I1585" i="1"/>
  <c r="G1585" i="1"/>
  <c r="O1584" i="1"/>
  <c r="P1584" i="1" s="1"/>
  <c r="Q1584" i="1" s="1"/>
  <c r="S1584" i="1" s="1"/>
  <c r="J1584" i="1" s="1"/>
  <c r="I1584" i="1"/>
  <c r="G1584" i="1"/>
  <c r="O1583" i="1"/>
  <c r="P1583" i="1" s="1"/>
  <c r="Q1583" i="1" s="1"/>
  <c r="S1583" i="1" s="1"/>
  <c r="J1583" i="1" s="1"/>
  <c r="I1583" i="1"/>
  <c r="G1583" i="1"/>
  <c r="O1582" i="1"/>
  <c r="P1582" i="1" s="1"/>
  <c r="Q1582" i="1" s="1"/>
  <c r="S1582" i="1" s="1"/>
  <c r="J1582" i="1" s="1"/>
  <c r="I1582" i="1"/>
  <c r="G1582" i="1"/>
  <c r="O1581" i="1"/>
  <c r="P1581" i="1" s="1"/>
  <c r="Q1581" i="1" s="1"/>
  <c r="S1581" i="1" s="1"/>
  <c r="J1581" i="1" s="1"/>
  <c r="I1581" i="1"/>
  <c r="G1581" i="1"/>
  <c r="O1580" i="1"/>
  <c r="P1580" i="1" s="1"/>
  <c r="Q1580" i="1" s="1"/>
  <c r="S1580" i="1" s="1"/>
  <c r="J1580" i="1" s="1"/>
  <c r="I1580" i="1"/>
  <c r="G1580" i="1"/>
  <c r="O1579" i="1"/>
  <c r="P1579" i="1" s="1"/>
  <c r="Q1579" i="1" s="1"/>
  <c r="S1579" i="1" s="1"/>
  <c r="J1579" i="1" s="1"/>
  <c r="I1579" i="1"/>
  <c r="G1579" i="1"/>
  <c r="O1578" i="1"/>
  <c r="P1578" i="1" s="1"/>
  <c r="Q1578" i="1" s="1"/>
  <c r="S1578" i="1" s="1"/>
  <c r="J1578" i="1" s="1"/>
  <c r="I1578" i="1"/>
  <c r="G1578" i="1"/>
  <c r="O1577" i="1"/>
  <c r="P1577" i="1" s="1"/>
  <c r="Q1577" i="1" s="1"/>
  <c r="S1577" i="1" s="1"/>
  <c r="J1577" i="1" s="1"/>
  <c r="O1576" i="1"/>
  <c r="P1576" i="1" s="1"/>
  <c r="Q1576" i="1" s="1"/>
  <c r="S1576" i="1" s="1"/>
  <c r="J1576" i="1" s="1"/>
  <c r="O1575" i="1"/>
  <c r="P1575" i="1" s="1"/>
  <c r="Q1575" i="1" s="1"/>
  <c r="S1575" i="1" s="1"/>
  <c r="I1575" i="1"/>
  <c r="G1575" i="1"/>
  <c r="O1574" i="1"/>
  <c r="P1574" i="1" s="1"/>
  <c r="Q1574" i="1" s="1"/>
  <c r="S1574" i="1" s="1"/>
  <c r="J1574" i="1" s="1"/>
  <c r="O1573" i="1"/>
  <c r="P1573" i="1" s="1"/>
  <c r="Q1573" i="1" s="1"/>
  <c r="S1573" i="1" s="1"/>
  <c r="J1573" i="1" s="1"/>
  <c r="I1573" i="1"/>
  <c r="G1573" i="1"/>
  <c r="O1572" i="1"/>
  <c r="I1572" i="1"/>
  <c r="G1572" i="1"/>
  <c r="O1571" i="1"/>
  <c r="P1571" i="1" s="1"/>
  <c r="Q1571" i="1" s="1"/>
  <c r="S1571" i="1" s="1"/>
  <c r="J1571" i="1" s="1"/>
  <c r="O1570" i="1"/>
  <c r="P1570" i="1" s="1"/>
  <c r="Q1570" i="1" s="1"/>
  <c r="S1570" i="1" s="1"/>
  <c r="J1570" i="1" s="1"/>
  <c r="O1569" i="1"/>
  <c r="P1569" i="1" s="1"/>
  <c r="Q1569" i="1" s="1"/>
  <c r="S1569" i="1" s="1"/>
  <c r="J1569" i="1" s="1"/>
  <c r="O1568" i="1"/>
  <c r="P1568" i="1" s="1"/>
  <c r="Q1568" i="1" s="1"/>
  <c r="S1568" i="1" s="1"/>
  <c r="J1568" i="1" s="1"/>
  <c r="I1568" i="1"/>
  <c r="G1568" i="1"/>
  <c r="O1567" i="1"/>
  <c r="P1567" i="1" s="1"/>
  <c r="Q1567" i="1" s="1"/>
  <c r="S1567" i="1" s="1"/>
  <c r="I1567" i="1"/>
  <c r="G1567" i="1"/>
  <c r="O1566" i="1"/>
  <c r="P1566" i="1" s="1"/>
  <c r="Q1566" i="1" s="1"/>
  <c r="S1566" i="1" s="1"/>
  <c r="J1566" i="1" s="1"/>
  <c r="I1566" i="1"/>
  <c r="G1566" i="1"/>
  <c r="O1565" i="1"/>
  <c r="P1565" i="1" s="1"/>
  <c r="Q1565" i="1" s="1"/>
  <c r="S1565" i="1" s="1"/>
  <c r="I1565" i="1"/>
  <c r="G1565" i="1"/>
  <c r="O1564" i="1"/>
  <c r="P1564" i="1" s="1"/>
  <c r="Q1564" i="1" s="1"/>
  <c r="S1564" i="1" s="1"/>
  <c r="J1564" i="1" s="1"/>
  <c r="I1564" i="1"/>
  <c r="G1564" i="1"/>
  <c r="O1563" i="1"/>
  <c r="P1563" i="1" s="1"/>
  <c r="Q1563" i="1" s="1"/>
  <c r="S1563" i="1" s="1"/>
  <c r="I1563" i="1"/>
  <c r="G1563" i="1"/>
  <c r="O1562" i="1"/>
  <c r="P1562" i="1" s="1"/>
  <c r="Q1562" i="1" s="1"/>
  <c r="S1562" i="1" s="1"/>
  <c r="J1562" i="1" s="1"/>
  <c r="I1562" i="1"/>
  <c r="G1562" i="1"/>
  <c r="O1561" i="1"/>
  <c r="P1561" i="1" s="1"/>
  <c r="Q1561" i="1" s="1"/>
  <c r="S1561" i="1" s="1"/>
  <c r="I1561" i="1"/>
  <c r="G1561" i="1"/>
  <c r="O1560" i="1"/>
  <c r="P1560" i="1" s="1"/>
  <c r="Q1560" i="1" s="1"/>
  <c r="S1560" i="1" s="1"/>
  <c r="J1560" i="1" s="1"/>
  <c r="I1560" i="1"/>
  <c r="G1560" i="1"/>
  <c r="O1559" i="1"/>
  <c r="P1559" i="1" s="1"/>
  <c r="Q1559" i="1" s="1"/>
  <c r="S1559" i="1" s="1"/>
  <c r="I1559" i="1"/>
  <c r="G1559" i="1"/>
  <c r="O1558" i="1"/>
  <c r="P1558" i="1" s="1"/>
  <c r="Q1558" i="1" s="1"/>
  <c r="S1558" i="1" s="1"/>
  <c r="J1558" i="1" s="1"/>
  <c r="I1558" i="1"/>
  <c r="G1558" i="1"/>
  <c r="O1557" i="1"/>
  <c r="P1557" i="1" s="1"/>
  <c r="Q1557" i="1" s="1"/>
  <c r="S1557" i="1" s="1"/>
  <c r="I1557" i="1"/>
  <c r="G1557" i="1"/>
  <c r="O1556" i="1"/>
  <c r="P1556" i="1" s="1"/>
  <c r="Q1556" i="1" s="1"/>
  <c r="S1556" i="1" s="1"/>
  <c r="J1556" i="1" s="1"/>
  <c r="I1556" i="1"/>
  <c r="G1556" i="1"/>
  <c r="O1555" i="1"/>
  <c r="P1555" i="1" s="1"/>
  <c r="Q1555" i="1" s="1"/>
  <c r="S1555" i="1" s="1"/>
  <c r="O1554" i="1"/>
  <c r="P1554" i="1" s="1"/>
  <c r="Q1554" i="1" s="1"/>
  <c r="S1554" i="1" s="1"/>
  <c r="O1553" i="1"/>
  <c r="P1553" i="1" s="1"/>
  <c r="Q1553" i="1" s="1"/>
  <c r="S1553" i="1" s="1"/>
  <c r="I1553" i="1"/>
  <c r="G1553" i="1"/>
  <c r="O1552" i="1"/>
  <c r="P1552" i="1" s="1"/>
  <c r="Q1552" i="1" s="1"/>
  <c r="S1552" i="1" s="1"/>
  <c r="J1552" i="1" s="1"/>
  <c r="I1552" i="1"/>
  <c r="G1552" i="1"/>
  <c r="O1551" i="1"/>
  <c r="P1551" i="1" s="1"/>
  <c r="Q1551" i="1" s="1"/>
  <c r="S1551" i="1" s="1"/>
  <c r="I1551" i="1"/>
  <c r="G1551" i="1"/>
  <c r="O1550" i="1"/>
  <c r="P1550" i="1" s="1"/>
  <c r="Q1550" i="1" s="1"/>
  <c r="S1550" i="1" s="1"/>
  <c r="J1550" i="1" s="1"/>
  <c r="I1550" i="1"/>
  <c r="G1550" i="1"/>
  <c r="O1549" i="1"/>
  <c r="P1549" i="1" s="1"/>
  <c r="Q1549" i="1" s="1"/>
  <c r="S1549" i="1" s="1"/>
  <c r="J1549" i="1" s="1"/>
  <c r="I1549" i="1"/>
  <c r="G1549" i="1"/>
  <c r="O1548" i="1"/>
  <c r="P1548" i="1" s="1"/>
  <c r="Q1548" i="1" s="1"/>
  <c r="S1548" i="1" s="1"/>
  <c r="I1548" i="1"/>
  <c r="G1548" i="1"/>
  <c r="O1547" i="1"/>
  <c r="P1547" i="1" s="1"/>
  <c r="Q1547" i="1" s="1"/>
  <c r="S1547" i="1" s="1"/>
  <c r="J1547" i="1" s="1"/>
  <c r="Y1547" i="1" s="1"/>
  <c r="O1546" i="1"/>
  <c r="P1546" i="1" s="1"/>
  <c r="Q1546" i="1" s="1"/>
  <c r="S1546" i="1" s="1"/>
  <c r="J1546" i="1" s="1"/>
  <c r="I1546" i="1"/>
  <c r="G1546" i="1"/>
  <c r="O1545" i="1"/>
  <c r="P1545" i="1" s="1"/>
  <c r="Q1545" i="1" s="1"/>
  <c r="S1545" i="1" s="1"/>
  <c r="O1544" i="1"/>
  <c r="P1544" i="1" s="1"/>
  <c r="Q1544" i="1" s="1"/>
  <c r="S1544" i="1" s="1"/>
  <c r="I1544" i="1"/>
  <c r="G1544" i="1"/>
  <c r="O1543" i="1"/>
  <c r="P1543" i="1" s="1"/>
  <c r="Q1543" i="1" s="1"/>
  <c r="S1543" i="1" s="1"/>
  <c r="J1543" i="1" s="1"/>
  <c r="I1543" i="1"/>
  <c r="G1543" i="1"/>
  <c r="O1542" i="1"/>
  <c r="P1542" i="1" s="1"/>
  <c r="Q1542" i="1" s="1"/>
  <c r="S1542" i="1" s="1"/>
  <c r="I1542" i="1"/>
  <c r="G1542" i="1"/>
  <c r="O1541" i="1"/>
  <c r="P1541" i="1" s="1"/>
  <c r="Q1541" i="1" s="1"/>
  <c r="S1541" i="1" s="1"/>
  <c r="J1541" i="1" s="1"/>
  <c r="I1541" i="1"/>
  <c r="G1541" i="1"/>
  <c r="O1540" i="1"/>
  <c r="P1540" i="1" s="1"/>
  <c r="Q1540" i="1" s="1"/>
  <c r="S1540" i="1" s="1"/>
  <c r="I1540" i="1"/>
  <c r="G1540" i="1"/>
  <c r="O1539" i="1"/>
  <c r="P1539" i="1" s="1"/>
  <c r="Q1539" i="1" s="1"/>
  <c r="S1539" i="1" s="1"/>
  <c r="J1539" i="1" s="1"/>
  <c r="I1539" i="1"/>
  <c r="G1539" i="1"/>
  <c r="O1538" i="1"/>
  <c r="P1538" i="1" s="1"/>
  <c r="Q1538" i="1" s="1"/>
  <c r="S1538" i="1" s="1"/>
  <c r="I1538" i="1"/>
  <c r="G1538" i="1"/>
  <c r="O1537" i="1"/>
  <c r="P1537" i="1" s="1"/>
  <c r="Q1537" i="1" s="1"/>
  <c r="S1537" i="1" s="1"/>
  <c r="J1537" i="1" s="1"/>
  <c r="I1537" i="1"/>
  <c r="G1537" i="1"/>
  <c r="O1536" i="1"/>
  <c r="P1536" i="1" s="1"/>
  <c r="Q1536" i="1" s="1"/>
  <c r="S1536" i="1" s="1"/>
  <c r="O1535" i="1"/>
  <c r="P1535" i="1" s="1"/>
  <c r="Q1535" i="1" s="1"/>
  <c r="S1535" i="1" s="1"/>
  <c r="I1535" i="1"/>
  <c r="G1535" i="1"/>
  <c r="O1534" i="1"/>
  <c r="P1534" i="1" s="1"/>
  <c r="Q1534" i="1" s="1"/>
  <c r="S1534" i="1" s="1"/>
  <c r="J1534" i="1" s="1"/>
  <c r="O1533" i="1"/>
  <c r="P1533" i="1" s="1"/>
  <c r="Q1533" i="1" s="1"/>
  <c r="S1533" i="1" s="1"/>
  <c r="J1533" i="1" s="1"/>
  <c r="Y1533" i="1" s="1"/>
  <c r="I1533" i="1"/>
  <c r="G1533" i="1"/>
  <c r="O1532" i="1"/>
  <c r="P1532" i="1" s="1"/>
  <c r="Q1532" i="1" s="1"/>
  <c r="S1532" i="1" s="1"/>
  <c r="I1532" i="1"/>
  <c r="G1532" i="1"/>
  <c r="O1531" i="1"/>
  <c r="P1531" i="1" s="1"/>
  <c r="Q1531" i="1" s="1"/>
  <c r="S1531" i="1" s="1"/>
  <c r="J1531" i="1" s="1"/>
  <c r="Y1531" i="1" s="1"/>
  <c r="O1530" i="1"/>
  <c r="P1530" i="1" s="1"/>
  <c r="Q1530" i="1" s="1"/>
  <c r="S1530" i="1" s="1"/>
  <c r="J1530" i="1" s="1"/>
  <c r="I1530" i="1"/>
  <c r="G1530" i="1"/>
  <c r="O1529" i="1"/>
  <c r="P1529" i="1" s="1"/>
  <c r="Q1529" i="1" s="1"/>
  <c r="S1529" i="1" s="1"/>
  <c r="I1529" i="1"/>
  <c r="G1529" i="1"/>
  <c r="O1528" i="1"/>
  <c r="P1528" i="1" s="1"/>
  <c r="Q1528" i="1" s="1"/>
  <c r="S1528" i="1" s="1"/>
  <c r="J1528" i="1" s="1"/>
  <c r="I1528" i="1"/>
  <c r="G1528" i="1"/>
  <c r="O1527" i="1"/>
  <c r="P1527" i="1" s="1"/>
  <c r="Q1527" i="1" s="1"/>
  <c r="S1527" i="1" s="1"/>
  <c r="I1527" i="1"/>
  <c r="G1527" i="1"/>
  <c r="O1526" i="1"/>
  <c r="P1526" i="1" s="1"/>
  <c r="Q1526" i="1" s="1"/>
  <c r="S1526" i="1" s="1"/>
  <c r="J1526" i="1" s="1"/>
  <c r="I1526" i="1"/>
  <c r="G1526" i="1"/>
  <c r="O1525" i="1"/>
  <c r="P1525" i="1" s="1"/>
  <c r="Q1525" i="1" s="1"/>
  <c r="S1525" i="1" s="1"/>
  <c r="I1525" i="1"/>
  <c r="G1525" i="1"/>
  <c r="O1524" i="1"/>
  <c r="P1524" i="1" s="1"/>
  <c r="Q1524" i="1" s="1"/>
  <c r="S1524" i="1" s="1"/>
  <c r="J1524" i="1" s="1"/>
  <c r="I1524" i="1"/>
  <c r="G1524" i="1"/>
  <c r="O1523" i="1"/>
  <c r="P1523" i="1" s="1"/>
  <c r="Q1523" i="1" s="1"/>
  <c r="S1523" i="1" s="1"/>
  <c r="I1523" i="1"/>
  <c r="G1523" i="1"/>
  <c r="O1522" i="1"/>
  <c r="P1522" i="1" s="1"/>
  <c r="Q1522" i="1" s="1"/>
  <c r="S1522" i="1" s="1"/>
  <c r="J1522" i="1" s="1"/>
  <c r="I1522" i="1"/>
  <c r="G1522" i="1"/>
  <c r="O1521" i="1"/>
  <c r="P1521" i="1" s="1"/>
  <c r="Q1521" i="1" s="1"/>
  <c r="S1521" i="1" s="1"/>
  <c r="I1521" i="1"/>
  <c r="G1521" i="1"/>
  <c r="O1520" i="1"/>
  <c r="P1520" i="1" s="1"/>
  <c r="Q1520" i="1" s="1"/>
  <c r="S1520" i="1" s="1"/>
  <c r="J1520" i="1" s="1"/>
  <c r="I1520" i="1"/>
  <c r="G1520" i="1"/>
  <c r="O1519" i="1"/>
  <c r="P1519" i="1" s="1"/>
  <c r="Q1519" i="1" s="1"/>
  <c r="S1519" i="1" s="1"/>
  <c r="I1519" i="1"/>
  <c r="G1519" i="1"/>
  <c r="O1518" i="1"/>
  <c r="P1518" i="1" s="1"/>
  <c r="Q1518" i="1" s="1"/>
  <c r="S1518" i="1" s="1"/>
  <c r="J1518" i="1" s="1"/>
  <c r="I1518" i="1"/>
  <c r="G1518" i="1"/>
  <c r="O1517" i="1"/>
  <c r="P1517" i="1" s="1"/>
  <c r="Q1517" i="1" s="1"/>
  <c r="S1517" i="1" s="1"/>
  <c r="I1517" i="1"/>
  <c r="G1517" i="1"/>
  <c r="O1516" i="1"/>
  <c r="P1516" i="1" s="1"/>
  <c r="Q1516" i="1" s="1"/>
  <c r="S1516" i="1" s="1"/>
  <c r="J1516" i="1" s="1"/>
  <c r="I1516" i="1"/>
  <c r="G1516" i="1"/>
  <c r="O1515" i="1"/>
  <c r="P1515" i="1" s="1"/>
  <c r="Q1515" i="1" s="1"/>
  <c r="S1515" i="1" s="1"/>
  <c r="I1515" i="1"/>
  <c r="G1515" i="1"/>
  <c r="O1514" i="1"/>
  <c r="P1514" i="1" s="1"/>
  <c r="Q1514" i="1" s="1"/>
  <c r="S1514" i="1" s="1"/>
  <c r="J1514" i="1" s="1"/>
  <c r="I1514" i="1"/>
  <c r="G1514" i="1"/>
  <c r="O1513" i="1"/>
  <c r="P1513" i="1" s="1"/>
  <c r="Q1513" i="1" s="1"/>
  <c r="S1513" i="1" s="1"/>
  <c r="I1513" i="1"/>
  <c r="G1513" i="1"/>
  <c r="O1512" i="1"/>
  <c r="P1512" i="1" s="1"/>
  <c r="Q1512" i="1" s="1"/>
  <c r="S1512" i="1" s="1"/>
  <c r="J1512" i="1" s="1"/>
  <c r="I1512" i="1"/>
  <c r="G1512" i="1"/>
  <c r="O1511" i="1"/>
  <c r="P1511" i="1" s="1"/>
  <c r="Q1511" i="1" s="1"/>
  <c r="S1511" i="1" s="1"/>
  <c r="I1511" i="1"/>
  <c r="G1511" i="1"/>
  <c r="O1510" i="1"/>
  <c r="P1510" i="1" s="1"/>
  <c r="Q1510" i="1" s="1"/>
  <c r="S1510" i="1" s="1"/>
  <c r="J1510" i="1" s="1"/>
  <c r="I1510" i="1"/>
  <c r="G1510" i="1"/>
  <c r="O1509" i="1"/>
  <c r="P1509" i="1" s="1"/>
  <c r="Q1509" i="1" s="1"/>
  <c r="S1509" i="1" s="1"/>
  <c r="I1509" i="1"/>
  <c r="G1509" i="1"/>
  <c r="O1508" i="1"/>
  <c r="P1508" i="1" s="1"/>
  <c r="Q1508" i="1" s="1"/>
  <c r="S1508" i="1" s="1"/>
  <c r="J1508" i="1" s="1"/>
  <c r="I1508" i="1"/>
  <c r="G1508" i="1"/>
  <c r="O1507" i="1"/>
  <c r="P1507" i="1" s="1"/>
  <c r="Q1507" i="1" s="1"/>
  <c r="S1507" i="1" s="1"/>
  <c r="I1507" i="1"/>
  <c r="G1507" i="1"/>
  <c r="O1506" i="1"/>
  <c r="P1506" i="1" s="1"/>
  <c r="Q1506" i="1" s="1"/>
  <c r="S1506" i="1" s="1"/>
  <c r="J1506" i="1" s="1"/>
  <c r="I1506" i="1"/>
  <c r="G1506" i="1"/>
  <c r="O1505" i="1"/>
  <c r="P1505" i="1" s="1"/>
  <c r="Q1505" i="1" s="1"/>
  <c r="S1505" i="1" s="1"/>
  <c r="I1505" i="1"/>
  <c r="G1505" i="1"/>
  <c r="O1504" i="1"/>
  <c r="P1504" i="1" s="1"/>
  <c r="Q1504" i="1" s="1"/>
  <c r="S1504" i="1" s="1"/>
  <c r="J1504" i="1" s="1"/>
  <c r="I1504" i="1"/>
  <c r="G1504" i="1"/>
  <c r="O1503" i="1"/>
  <c r="P1503" i="1" s="1"/>
  <c r="Q1503" i="1" s="1"/>
  <c r="S1503" i="1" s="1"/>
  <c r="I1503" i="1"/>
  <c r="G1503" i="1"/>
  <c r="O1502" i="1"/>
  <c r="P1502" i="1" s="1"/>
  <c r="Q1502" i="1" s="1"/>
  <c r="S1502" i="1" s="1"/>
  <c r="J1502" i="1" s="1"/>
  <c r="I1502" i="1"/>
  <c r="G1502" i="1"/>
  <c r="O1501" i="1"/>
  <c r="P1501" i="1" s="1"/>
  <c r="Q1501" i="1" s="1"/>
  <c r="S1501" i="1" s="1"/>
  <c r="I1501" i="1"/>
  <c r="G1501" i="1"/>
  <c r="O1500" i="1"/>
  <c r="P1500" i="1" s="1"/>
  <c r="Q1500" i="1" s="1"/>
  <c r="S1500" i="1" s="1"/>
  <c r="J1500" i="1" s="1"/>
  <c r="I1500" i="1"/>
  <c r="G1500" i="1"/>
  <c r="O1499" i="1"/>
  <c r="P1499" i="1" s="1"/>
  <c r="Q1499" i="1" s="1"/>
  <c r="S1499" i="1" s="1"/>
  <c r="O1498" i="1"/>
  <c r="P1498" i="1" s="1"/>
  <c r="Q1498" i="1" s="1"/>
  <c r="S1498" i="1" s="1"/>
  <c r="O1497" i="1"/>
  <c r="P1497" i="1" s="1"/>
  <c r="Q1497" i="1" s="1"/>
  <c r="S1497" i="1" s="1"/>
  <c r="O1496" i="1"/>
  <c r="P1496" i="1" s="1"/>
  <c r="Q1496" i="1" s="1"/>
  <c r="S1496" i="1" s="1"/>
  <c r="I1496" i="1"/>
  <c r="G1496" i="1"/>
  <c r="O1495" i="1"/>
  <c r="P1495" i="1" s="1"/>
  <c r="Q1495" i="1" s="1"/>
  <c r="S1495" i="1" s="1"/>
  <c r="J1495" i="1" s="1"/>
  <c r="O1494" i="1"/>
  <c r="P1494" i="1" s="1"/>
  <c r="Q1494" i="1" s="1"/>
  <c r="S1494" i="1" s="1"/>
  <c r="J1494" i="1" s="1"/>
  <c r="Y1494" i="1" s="1"/>
  <c r="I1494" i="1"/>
  <c r="G1494" i="1"/>
  <c r="O1493" i="1"/>
  <c r="P1493" i="1" s="1"/>
  <c r="Q1493" i="1" s="1"/>
  <c r="S1493" i="1" s="1"/>
  <c r="I1493" i="1"/>
  <c r="G1493" i="1"/>
  <c r="O1492" i="1"/>
  <c r="P1492" i="1" s="1"/>
  <c r="Q1492" i="1" s="1"/>
  <c r="S1492" i="1" s="1"/>
  <c r="J1492" i="1" s="1"/>
  <c r="Y1492" i="1" s="1"/>
  <c r="I1492" i="1"/>
  <c r="G1492" i="1"/>
  <c r="O1491" i="1"/>
  <c r="P1491" i="1" s="1"/>
  <c r="Q1491" i="1" s="1"/>
  <c r="S1491" i="1" s="1"/>
  <c r="J1491" i="1" s="1"/>
  <c r="K1491" i="1" s="1"/>
  <c r="I1491" i="1"/>
  <c r="G1491" i="1"/>
  <c r="O1490" i="1"/>
  <c r="P1490" i="1" s="1"/>
  <c r="Q1490" i="1" s="1"/>
  <c r="S1490" i="1" s="1"/>
  <c r="J1490" i="1" s="1"/>
  <c r="Y1490" i="1" s="1"/>
  <c r="I1490" i="1"/>
  <c r="G1490" i="1"/>
  <c r="O1489" i="1"/>
  <c r="P1489" i="1" s="1"/>
  <c r="Q1489" i="1" s="1"/>
  <c r="S1489" i="1" s="1"/>
  <c r="J1489" i="1" s="1"/>
  <c r="K1489" i="1" s="1"/>
  <c r="I1489" i="1"/>
  <c r="G1489" i="1"/>
  <c r="O1488" i="1"/>
  <c r="P1488" i="1" s="1"/>
  <c r="Q1488" i="1" s="1"/>
  <c r="S1488" i="1" s="1"/>
  <c r="J1488" i="1" s="1"/>
  <c r="Y1488" i="1" s="1"/>
  <c r="I1488" i="1"/>
  <c r="G1488" i="1"/>
  <c r="O1487" i="1"/>
  <c r="P1487" i="1" s="1"/>
  <c r="Q1487" i="1" s="1"/>
  <c r="S1487" i="1" s="1"/>
  <c r="I1487" i="1"/>
  <c r="G1487" i="1"/>
  <c r="O1486" i="1"/>
  <c r="P1486" i="1" s="1"/>
  <c r="Q1486" i="1" s="1"/>
  <c r="S1486" i="1" s="1"/>
  <c r="J1486" i="1" s="1"/>
  <c r="Y1486" i="1" s="1"/>
  <c r="I1486" i="1"/>
  <c r="G1486" i="1"/>
  <c r="O1485" i="1"/>
  <c r="P1485" i="1" s="1"/>
  <c r="Q1485" i="1" s="1"/>
  <c r="S1485" i="1" s="1"/>
  <c r="J1485" i="1" s="1"/>
  <c r="K1485" i="1" s="1"/>
  <c r="I1485" i="1"/>
  <c r="G1485" i="1"/>
  <c r="O1484" i="1"/>
  <c r="P1484" i="1" s="1"/>
  <c r="Q1484" i="1" s="1"/>
  <c r="S1484" i="1" s="1"/>
  <c r="J1484" i="1" s="1"/>
  <c r="Y1484" i="1" s="1"/>
  <c r="O1483" i="1"/>
  <c r="P1483" i="1" s="1"/>
  <c r="Q1483" i="1" s="1"/>
  <c r="S1483" i="1" s="1"/>
  <c r="J1483" i="1" s="1"/>
  <c r="O1482" i="1"/>
  <c r="P1482" i="1" s="1"/>
  <c r="Q1482" i="1" s="1"/>
  <c r="S1482" i="1" s="1"/>
  <c r="J1482" i="1" s="1"/>
  <c r="Y1482" i="1" s="1"/>
  <c r="I1482" i="1"/>
  <c r="G1482" i="1"/>
  <c r="O1481" i="1"/>
  <c r="P1481" i="1" s="1"/>
  <c r="Q1481" i="1" s="1"/>
  <c r="S1481" i="1" s="1"/>
  <c r="I1481" i="1"/>
  <c r="G1481" i="1"/>
  <c r="O1480" i="1"/>
  <c r="P1480" i="1" s="1"/>
  <c r="Q1480" i="1" s="1"/>
  <c r="S1480" i="1" s="1"/>
  <c r="J1480" i="1" s="1"/>
  <c r="Y1480" i="1" s="1"/>
  <c r="O1479" i="1"/>
  <c r="P1479" i="1" s="1"/>
  <c r="Q1479" i="1" s="1"/>
  <c r="S1479" i="1" s="1"/>
  <c r="J1479" i="1" s="1"/>
  <c r="I1479" i="1"/>
  <c r="G1479" i="1"/>
  <c r="O1478" i="1"/>
  <c r="P1478" i="1" s="1"/>
  <c r="Q1478" i="1" s="1"/>
  <c r="S1478" i="1" s="1"/>
  <c r="I1478" i="1"/>
  <c r="G1478" i="1"/>
  <c r="O1477" i="1"/>
  <c r="P1477" i="1" s="1"/>
  <c r="Q1477" i="1" s="1"/>
  <c r="S1477" i="1" s="1"/>
  <c r="J1477" i="1" s="1"/>
  <c r="I1477" i="1"/>
  <c r="G1477" i="1"/>
  <c r="O1476" i="1"/>
  <c r="P1476" i="1" s="1"/>
  <c r="Q1476" i="1" s="1"/>
  <c r="S1476" i="1" s="1"/>
  <c r="I1476" i="1"/>
  <c r="G1476" i="1"/>
  <c r="O1475" i="1"/>
  <c r="P1475" i="1" s="1"/>
  <c r="Q1475" i="1" s="1"/>
  <c r="S1475" i="1" s="1"/>
  <c r="J1475" i="1" s="1"/>
  <c r="O1474" i="1"/>
  <c r="P1474" i="1" s="1"/>
  <c r="Q1474" i="1" s="1"/>
  <c r="S1474" i="1" s="1"/>
  <c r="J1474" i="1" s="1"/>
  <c r="Y1474" i="1" s="1"/>
  <c r="O1473" i="1"/>
  <c r="P1473" i="1" s="1"/>
  <c r="Q1473" i="1" s="1"/>
  <c r="S1473" i="1" s="1"/>
  <c r="J1473" i="1" s="1"/>
  <c r="I1473" i="1"/>
  <c r="G1473" i="1"/>
  <c r="O1472" i="1"/>
  <c r="P1472" i="1" s="1"/>
  <c r="Q1472" i="1" s="1"/>
  <c r="S1472" i="1" s="1"/>
  <c r="I1472" i="1"/>
  <c r="G1472" i="1"/>
  <c r="O1471" i="1"/>
  <c r="P1471" i="1" s="1"/>
  <c r="Q1471" i="1" s="1"/>
  <c r="S1471" i="1" s="1"/>
  <c r="J1471" i="1" s="1"/>
  <c r="O1470" i="1"/>
  <c r="P1470" i="1" s="1"/>
  <c r="Q1470" i="1" s="1"/>
  <c r="S1470" i="1" s="1"/>
  <c r="J1470" i="1" s="1"/>
  <c r="Y1470" i="1" s="1"/>
  <c r="O1469" i="1"/>
  <c r="P1469" i="1" s="1"/>
  <c r="Q1469" i="1" s="1"/>
  <c r="S1469" i="1" s="1"/>
  <c r="J1469" i="1" s="1"/>
  <c r="I1469" i="1"/>
  <c r="G1469" i="1"/>
  <c r="O1468" i="1"/>
  <c r="P1468" i="1" s="1"/>
  <c r="Q1468" i="1" s="1"/>
  <c r="S1468" i="1" s="1"/>
  <c r="O1467" i="1"/>
  <c r="P1467" i="1" s="1"/>
  <c r="Q1467" i="1" s="1"/>
  <c r="S1467" i="1" s="1"/>
  <c r="I1467" i="1"/>
  <c r="G1467" i="1"/>
  <c r="O1466" i="1"/>
  <c r="P1466" i="1" s="1"/>
  <c r="Q1466" i="1" s="1"/>
  <c r="S1466" i="1" s="1"/>
  <c r="J1466" i="1" s="1"/>
  <c r="O1465" i="1"/>
  <c r="P1465" i="1" s="1"/>
  <c r="Q1465" i="1" s="1"/>
  <c r="S1465" i="1" s="1"/>
  <c r="J1465" i="1" s="1"/>
  <c r="Y1465" i="1" s="1"/>
  <c r="O1464" i="1"/>
  <c r="P1464" i="1" s="1"/>
  <c r="Q1464" i="1" s="1"/>
  <c r="S1464" i="1" s="1"/>
  <c r="J1464" i="1" s="1"/>
  <c r="I1464" i="1"/>
  <c r="G1464" i="1"/>
  <c r="O1463" i="1"/>
  <c r="P1463" i="1" s="1"/>
  <c r="Q1463" i="1" s="1"/>
  <c r="S1463" i="1" s="1"/>
  <c r="O1462" i="1"/>
  <c r="P1462" i="1" s="1"/>
  <c r="Q1462" i="1" s="1"/>
  <c r="S1462" i="1" s="1"/>
  <c r="O1461" i="1"/>
  <c r="P1461" i="1" s="1"/>
  <c r="Q1461" i="1" s="1"/>
  <c r="S1461" i="1" s="1"/>
  <c r="I1461" i="1"/>
  <c r="G1461" i="1"/>
  <c r="O1460" i="1"/>
  <c r="P1460" i="1" s="1"/>
  <c r="Q1460" i="1" s="1"/>
  <c r="S1460" i="1" s="1"/>
  <c r="J1460" i="1" s="1"/>
  <c r="I1460" i="1"/>
  <c r="G1460" i="1"/>
  <c r="O1459" i="1"/>
  <c r="P1459" i="1" s="1"/>
  <c r="Q1459" i="1" s="1"/>
  <c r="S1459" i="1" s="1"/>
  <c r="I1459" i="1"/>
  <c r="G1459" i="1"/>
  <c r="O1458" i="1"/>
  <c r="P1458" i="1" s="1"/>
  <c r="Q1458" i="1" s="1"/>
  <c r="S1458" i="1" s="1"/>
  <c r="J1458" i="1" s="1"/>
  <c r="I1458" i="1"/>
  <c r="G1458" i="1"/>
  <c r="O1457" i="1"/>
  <c r="P1457" i="1" s="1"/>
  <c r="Q1457" i="1" s="1"/>
  <c r="S1457" i="1" s="1"/>
  <c r="O1456" i="1"/>
  <c r="P1456" i="1" s="1"/>
  <c r="Q1456" i="1" s="1"/>
  <c r="S1456" i="1" s="1"/>
  <c r="O1455" i="1"/>
  <c r="P1455" i="1" s="1"/>
  <c r="Q1455" i="1" s="1"/>
  <c r="S1455" i="1" s="1"/>
  <c r="I1455" i="1"/>
  <c r="G1455" i="1"/>
  <c r="O1454" i="1"/>
  <c r="P1454" i="1" s="1"/>
  <c r="Q1454" i="1" s="1"/>
  <c r="S1454" i="1" s="1"/>
  <c r="J1454" i="1" s="1"/>
  <c r="I1454" i="1"/>
  <c r="G1454" i="1"/>
  <c r="O1453" i="1"/>
  <c r="P1453" i="1" s="1"/>
  <c r="Q1453" i="1" s="1"/>
  <c r="S1453" i="1" s="1"/>
  <c r="I1453" i="1"/>
  <c r="G1453" i="1"/>
  <c r="O1452" i="1"/>
  <c r="P1452" i="1" s="1"/>
  <c r="Q1452" i="1" s="1"/>
  <c r="S1452" i="1" s="1"/>
  <c r="J1452" i="1" s="1"/>
  <c r="I1452" i="1"/>
  <c r="G1452" i="1"/>
  <c r="O1451" i="1"/>
  <c r="P1451" i="1" s="1"/>
  <c r="Q1451" i="1" s="1"/>
  <c r="S1451" i="1" s="1"/>
  <c r="O1450" i="1"/>
  <c r="P1450" i="1" s="1"/>
  <c r="Q1450" i="1" s="1"/>
  <c r="S1450" i="1" s="1"/>
  <c r="O1449" i="1"/>
  <c r="P1449" i="1" s="1"/>
  <c r="Q1449" i="1" s="1"/>
  <c r="S1449" i="1" s="1"/>
  <c r="O1448" i="1"/>
  <c r="P1448" i="1" s="1"/>
  <c r="Q1448" i="1" s="1"/>
  <c r="S1448" i="1" s="1"/>
  <c r="I1448" i="1"/>
  <c r="G1448" i="1"/>
  <c r="O1447" i="1"/>
  <c r="P1447" i="1" s="1"/>
  <c r="Q1447" i="1" s="1"/>
  <c r="S1447" i="1" s="1"/>
  <c r="J1447" i="1" s="1"/>
  <c r="O1446" i="1"/>
  <c r="P1446" i="1" s="1"/>
  <c r="Q1446" i="1" s="1"/>
  <c r="S1446" i="1" s="1"/>
  <c r="J1446" i="1" s="1"/>
  <c r="Y1446" i="1" s="1"/>
  <c r="O1445" i="1"/>
  <c r="P1445" i="1" s="1"/>
  <c r="Q1445" i="1" s="1"/>
  <c r="S1445" i="1" s="1"/>
  <c r="J1445" i="1" s="1"/>
  <c r="O1444" i="1"/>
  <c r="P1444" i="1" s="1"/>
  <c r="Q1444" i="1" s="1"/>
  <c r="S1444" i="1" s="1"/>
  <c r="J1444" i="1" s="1"/>
  <c r="Y1444" i="1" s="1"/>
  <c r="O1443" i="1"/>
  <c r="P1443" i="1" s="1"/>
  <c r="Q1443" i="1" s="1"/>
  <c r="S1443" i="1" s="1"/>
  <c r="J1443" i="1" s="1"/>
  <c r="O1442" i="1"/>
  <c r="P1442" i="1" s="1"/>
  <c r="Q1442" i="1" s="1"/>
  <c r="S1442" i="1" s="1"/>
  <c r="J1442" i="1" s="1"/>
  <c r="Y1442" i="1" s="1"/>
  <c r="I1442" i="1"/>
  <c r="G1442" i="1"/>
  <c r="O1441" i="1"/>
  <c r="P1441" i="1" s="1"/>
  <c r="Q1441" i="1" s="1"/>
  <c r="S1441" i="1" s="1"/>
  <c r="J1441" i="1" s="1"/>
  <c r="K1441" i="1" s="1"/>
  <c r="I1441" i="1"/>
  <c r="G1441" i="1"/>
  <c r="O1440" i="1"/>
  <c r="P1440" i="1" s="1"/>
  <c r="Q1440" i="1" s="1"/>
  <c r="S1440" i="1" s="1"/>
  <c r="J1440" i="1" s="1"/>
  <c r="Y1440" i="1" s="1"/>
  <c r="I1440" i="1"/>
  <c r="G1440" i="1"/>
  <c r="O1439" i="1"/>
  <c r="P1439" i="1" s="1"/>
  <c r="Q1439" i="1" s="1"/>
  <c r="S1439" i="1" s="1"/>
  <c r="J1439" i="1" s="1"/>
  <c r="K1439" i="1" s="1"/>
  <c r="I1439" i="1"/>
  <c r="G1439" i="1"/>
  <c r="O1438" i="1"/>
  <c r="P1438" i="1" s="1"/>
  <c r="Q1438" i="1" s="1"/>
  <c r="S1438" i="1" s="1"/>
  <c r="J1438" i="1" s="1"/>
  <c r="Y1438" i="1" s="1"/>
  <c r="I1438" i="1"/>
  <c r="G1438" i="1"/>
  <c r="O1437" i="1"/>
  <c r="P1437" i="1" s="1"/>
  <c r="Q1437" i="1" s="1"/>
  <c r="S1437" i="1" s="1"/>
  <c r="J1437" i="1" s="1"/>
  <c r="K1437" i="1" s="1"/>
  <c r="I1437" i="1"/>
  <c r="G1437" i="1"/>
  <c r="O1436" i="1"/>
  <c r="P1436" i="1" s="1"/>
  <c r="Q1436" i="1" s="1"/>
  <c r="S1436" i="1" s="1"/>
  <c r="J1436" i="1" s="1"/>
  <c r="Y1436" i="1" s="1"/>
  <c r="I1436" i="1"/>
  <c r="G1436" i="1"/>
  <c r="O1435" i="1"/>
  <c r="P1435" i="1" s="1"/>
  <c r="Q1435" i="1" s="1"/>
  <c r="S1435" i="1" s="1"/>
  <c r="I1435" i="1"/>
  <c r="G1435" i="1"/>
  <c r="O1434" i="1"/>
  <c r="P1434" i="1" s="1"/>
  <c r="Q1434" i="1" s="1"/>
  <c r="S1434" i="1" s="1"/>
  <c r="J1434" i="1" s="1"/>
  <c r="Y1434" i="1" s="1"/>
  <c r="I1434" i="1"/>
  <c r="G1434" i="1"/>
  <c r="O1433" i="1"/>
  <c r="P1433" i="1" s="1"/>
  <c r="Q1433" i="1" s="1"/>
  <c r="S1433" i="1" s="1"/>
  <c r="O1432" i="1"/>
  <c r="P1432" i="1" s="1"/>
  <c r="Q1432" i="1" s="1"/>
  <c r="S1432" i="1" s="1"/>
  <c r="J1432" i="1" s="1"/>
  <c r="K1432" i="1" s="1"/>
  <c r="O1431" i="1"/>
  <c r="P1431" i="1" s="1"/>
  <c r="Q1431" i="1" s="1"/>
  <c r="S1431" i="1" s="1"/>
  <c r="O1430" i="1"/>
  <c r="P1430" i="1" s="1"/>
  <c r="Q1430" i="1" s="1"/>
  <c r="S1430" i="1" s="1"/>
  <c r="I1430" i="1"/>
  <c r="G1430" i="1"/>
  <c r="O1429" i="1"/>
  <c r="P1429" i="1" s="1"/>
  <c r="Q1429" i="1" s="1"/>
  <c r="S1429" i="1" s="1"/>
  <c r="J1429" i="1" s="1"/>
  <c r="Y1429" i="1" s="1"/>
  <c r="O1428" i="1"/>
  <c r="P1428" i="1" s="1"/>
  <c r="Q1428" i="1" s="1"/>
  <c r="S1428" i="1" s="1"/>
  <c r="J1428" i="1" s="1"/>
  <c r="I1428" i="1"/>
  <c r="G1428" i="1"/>
  <c r="O1427" i="1"/>
  <c r="P1427" i="1" s="1"/>
  <c r="Q1427" i="1" s="1"/>
  <c r="S1427" i="1" s="1"/>
  <c r="I1427" i="1"/>
  <c r="G1427" i="1"/>
  <c r="O1426" i="1"/>
  <c r="P1426" i="1" s="1"/>
  <c r="Q1426" i="1" s="1"/>
  <c r="S1426" i="1" s="1"/>
  <c r="J1426" i="1" s="1"/>
  <c r="I1426" i="1"/>
  <c r="G1426" i="1"/>
  <c r="O1425" i="1"/>
  <c r="P1425" i="1" s="1"/>
  <c r="Q1425" i="1" s="1"/>
  <c r="S1425" i="1" s="1"/>
  <c r="I1425" i="1"/>
  <c r="G1425" i="1"/>
  <c r="O1424" i="1"/>
  <c r="P1424" i="1" s="1"/>
  <c r="Q1424" i="1" s="1"/>
  <c r="S1424" i="1" s="1"/>
  <c r="J1424" i="1" s="1"/>
  <c r="I1424" i="1"/>
  <c r="G1424" i="1"/>
  <c r="O1423" i="1"/>
  <c r="P1423" i="1" s="1"/>
  <c r="Q1423" i="1" s="1"/>
  <c r="S1423" i="1" s="1"/>
  <c r="I1423" i="1"/>
  <c r="G1423" i="1"/>
  <c r="O1422" i="1"/>
  <c r="P1422" i="1" s="1"/>
  <c r="Q1422" i="1" s="1"/>
  <c r="S1422" i="1" s="1"/>
  <c r="J1422" i="1" s="1"/>
  <c r="O1421" i="1"/>
  <c r="P1421" i="1" s="1"/>
  <c r="Q1421" i="1" s="1"/>
  <c r="S1421" i="1" s="1"/>
  <c r="J1421" i="1" s="1"/>
  <c r="Y1421" i="1" s="1"/>
  <c r="I1421" i="1"/>
  <c r="G1421" i="1"/>
  <c r="O1420" i="1"/>
  <c r="P1420" i="1" s="1"/>
  <c r="Q1420" i="1" s="1"/>
  <c r="S1420" i="1" s="1"/>
  <c r="J1420" i="1" s="1"/>
  <c r="K1420" i="1" s="1"/>
  <c r="I1420" i="1"/>
  <c r="G1420" i="1"/>
  <c r="O1419" i="1"/>
  <c r="P1419" i="1" s="1"/>
  <c r="Q1419" i="1" s="1"/>
  <c r="S1419" i="1" s="1"/>
  <c r="J1419" i="1" s="1"/>
  <c r="Y1419" i="1" s="1"/>
  <c r="I1419" i="1"/>
  <c r="G1419" i="1"/>
  <c r="O1418" i="1"/>
  <c r="P1418" i="1" s="1"/>
  <c r="Q1418" i="1" s="1"/>
  <c r="S1418" i="1" s="1"/>
  <c r="J1418" i="1" s="1"/>
  <c r="K1418" i="1" s="1"/>
  <c r="I1418" i="1"/>
  <c r="G1418" i="1"/>
  <c r="O1417" i="1"/>
  <c r="P1417" i="1" s="1"/>
  <c r="Q1417" i="1" s="1"/>
  <c r="S1417" i="1" s="1"/>
  <c r="J1417" i="1" s="1"/>
  <c r="Y1417" i="1" s="1"/>
  <c r="O1416" i="1"/>
  <c r="P1416" i="1" s="1"/>
  <c r="Q1416" i="1" s="1"/>
  <c r="S1416" i="1" s="1"/>
  <c r="J1416" i="1" s="1"/>
  <c r="K1416" i="1" s="1"/>
  <c r="I1416" i="1"/>
  <c r="G1416" i="1"/>
  <c r="O1415" i="1"/>
  <c r="P1415" i="1" s="1"/>
  <c r="Q1415" i="1" s="1"/>
  <c r="S1415" i="1" s="1"/>
  <c r="J1415" i="1" s="1"/>
  <c r="Y1415" i="1" s="1"/>
  <c r="I1415" i="1"/>
  <c r="G1415" i="1"/>
  <c r="O1414" i="1"/>
  <c r="P1414" i="1" s="1"/>
  <c r="Q1414" i="1" s="1"/>
  <c r="S1414" i="1" s="1"/>
  <c r="J1414" i="1" s="1"/>
  <c r="K1414" i="1" s="1"/>
  <c r="B1414" i="1"/>
  <c r="B1415" i="1" s="1"/>
  <c r="B1416" i="1" s="1"/>
  <c r="B1417" i="1" s="1"/>
  <c r="B1418" i="1" s="1"/>
  <c r="B1419" i="1" s="1"/>
  <c r="B1420" i="1" s="1"/>
  <c r="B1421" i="1" s="1"/>
  <c r="B1422" i="1" s="1"/>
  <c r="B1423" i="1" s="1"/>
  <c r="B1424" i="1" s="1"/>
  <c r="B1425" i="1" s="1"/>
  <c r="B1426" i="1" s="1"/>
  <c r="B1427" i="1" s="1"/>
  <c r="B1428" i="1" s="1"/>
  <c r="B1429" i="1" s="1"/>
  <c r="B1430" i="1" s="1"/>
  <c r="B1431" i="1" s="1"/>
  <c r="B1432" i="1" s="1"/>
  <c r="B1433" i="1" s="1"/>
  <c r="B1434" i="1" s="1"/>
  <c r="B1435" i="1" s="1"/>
  <c r="B1436" i="1" s="1"/>
  <c r="B1437" i="1" s="1"/>
  <c r="B1438" i="1" s="1"/>
  <c r="B1439" i="1" s="1"/>
  <c r="B1440" i="1" s="1"/>
  <c r="B1441" i="1" s="1"/>
  <c r="B1442" i="1" s="1"/>
  <c r="B1443" i="1" s="1"/>
  <c r="B1444" i="1" s="1"/>
  <c r="B1445" i="1" s="1"/>
  <c r="B1446" i="1" s="1"/>
  <c r="B1447" i="1" s="1"/>
  <c r="B1448" i="1" s="1"/>
  <c r="B1449" i="1" s="1"/>
  <c r="B1450" i="1" s="1"/>
  <c r="B1451" i="1" s="1"/>
  <c r="B1452" i="1" s="1"/>
  <c r="B1453" i="1" s="1"/>
  <c r="B1454" i="1" s="1"/>
  <c r="B1455" i="1" s="1"/>
  <c r="B1456" i="1" s="1"/>
  <c r="B1457" i="1" s="1"/>
  <c r="B1458" i="1" s="1"/>
  <c r="B1459" i="1" s="1"/>
  <c r="B1460" i="1" s="1"/>
  <c r="B1461" i="1" s="1"/>
  <c r="B1462" i="1" s="1"/>
  <c r="B1463" i="1" s="1"/>
  <c r="B1464" i="1" s="1"/>
  <c r="B1465" i="1" s="1"/>
  <c r="B1466" i="1" s="1"/>
  <c r="B1467" i="1" s="1"/>
  <c r="B1468" i="1" s="1"/>
  <c r="B1469" i="1" s="1"/>
  <c r="B1470" i="1" s="1"/>
  <c r="B1471" i="1" s="1"/>
  <c r="B1472" i="1" s="1"/>
  <c r="B1473" i="1" s="1"/>
  <c r="B1474" i="1" s="1"/>
  <c r="B1475" i="1" s="1"/>
  <c r="B1476" i="1" s="1"/>
  <c r="B1477" i="1" s="1"/>
  <c r="B1478" i="1" s="1"/>
  <c r="B1479" i="1" s="1"/>
  <c r="B1480" i="1" s="1"/>
  <c r="B1481" i="1" s="1"/>
  <c r="B1482" i="1" s="1"/>
  <c r="B1483" i="1" s="1"/>
  <c r="B1484" i="1" s="1"/>
  <c r="B1485" i="1" s="1"/>
  <c r="B1486" i="1" s="1"/>
  <c r="B1487" i="1" s="1"/>
  <c r="B1488" i="1" s="1"/>
  <c r="B1489" i="1" s="1"/>
  <c r="B1490" i="1" s="1"/>
  <c r="B1491" i="1" s="1"/>
  <c r="B1492" i="1" s="1"/>
  <c r="B1493" i="1" s="1"/>
  <c r="B1494" i="1" s="1"/>
  <c r="B1495" i="1" s="1"/>
  <c r="B1496" i="1" s="1"/>
  <c r="B1497" i="1" s="1"/>
  <c r="B1498" i="1" s="1"/>
  <c r="B1499" i="1" s="1"/>
  <c r="B1500" i="1" s="1"/>
  <c r="B1501" i="1" s="1"/>
  <c r="B1502" i="1" s="1"/>
  <c r="B1503" i="1" s="1"/>
  <c r="B1504" i="1" s="1"/>
  <c r="B1505" i="1" s="1"/>
  <c r="B1506" i="1" s="1"/>
  <c r="B1507" i="1" s="1"/>
  <c r="B1508" i="1" s="1"/>
  <c r="B1509" i="1" s="1"/>
  <c r="B1510" i="1" s="1"/>
  <c r="B1511" i="1" s="1"/>
  <c r="B1512" i="1" s="1"/>
  <c r="B1513" i="1" s="1"/>
  <c r="B1514" i="1" s="1"/>
  <c r="B1515" i="1" s="1"/>
  <c r="B1516" i="1" s="1"/>
  <c r="B1517" i="1" s="1"/>
  <c r="B1518" i="1" s="1"/>
  <c r="B1519" i="1" s="1"/>
  <c r="B1520" i="1" s="1"/>
  <c r="B1521" i="1" s="1"/>
  <c r="B1522" i="1" s="1"/>
  <c r="B1523" i="1" s="1"/>
  <c r="B1524" i="1" s="1"/>
  <c r="B1525" i="1" s="1"/>
  <c r="B1526" i="1" s="1"/>
  <c r="B1527" i="1" s="1"/>
  <c r="B1528" i="1" s="1"/>
  <c r="B1529" i="1" s="1"/>
  <c r="B1530" i="1" s="1"/>
  <c r="B1531" i="1" s="1"/>
  <c r="B1532" i="1" s="1"/>
  <c r="B1533" i="1" s="1"/>
  <c r="B1534" i="1" s="1"/>
  <c r="B1535" i="1" s="1"/>
  <c r="B1536" i="1" s="1"/>
  <c r="B1537" i="1" s="1"/>
  <c r="B1538" i="1" s="1"/>
  <c r="B1539" i="1" s="1"/>
  <c r="B1540" i="1" s="1"/>
  <c r="B1541" i="1" s="1"/>
  <c r="B1542" i="1" s="1"/>
  <c r="B1543" i="1" s="1"/>
  <c r="B1544" i="1" s="1"/>
  <c r="B1545" i="1" s="1"/>
  <c r="B1546" i="1" s="1"/>
  <c r="B1547" i="1" s="1"/>
  <c r="B1548" i="1" s="1"/>
  <c r="B1549" i="1" s="1"/>
  <c r="B1550" i="1" s="1"/>
  <c r="B1551" i="1" s="1"/>
  <c r="B1552" i="1" s="1"/>
  <c r="B1553" i="1" s="1"/>
  <c r="B1554" i="1" s="1"/>
  <c r="B1555" i="1" s="1"/>
  <c r="B1556" i="1" s="1"/>
  <c r="B1557" i="1" s="1"/>
  <c r="B1558" i="1" s="1"/>
  <c r="B1559" i="1" s="1"/>
  <c r="B1560" i="1" s="1"/>
  <c r="B1561" i="1" s="1"/>
  <c r="B1562" i="1" s="1"/>
  <c r="B1563" i="1" s="1"/>
  <c r="B1564" i="1" s="1"/>
  <c r="B1565" i="1" s="1"/>
  <c r="B1566" i="1" s="1"/>
  <c r="B1567" i="1" s="1"/>
  <c r="B1568" i="1" s="1"/>
  <c r="B1569" i="1" s="1"/>
  <c r="B1570" i="1" s="1"/>
  <c r="B1571" i="1" s="1"/>
  <c r="B1572" i="1" s="1"/>
  <c r="B1573" i="1" s="1"/>
  <c r="B1574" i="1" s="1"/>
  <c r="B1575" i="1" s="1"/>
  <c r="B1576" i="1" s="1"/>
  <c r="B1577" i="1" s="1"/>
  <c r="B1578" i="1" s="1"/>
  <c r="B1579" i="1" s="1"/>
  <c r="B1580" i="1" s="1"/>
  <c r="B1581" i="1" s="1"/>
  <c r="B1582" i="1" s="1"/>
  <c r="B1583" i="1" s="1"/>
  <c r="B1584" i="1" s="1"/>
  <c r="B1585" i="1" s="1"/>
  <c r="B1586" i="1" s="1"/>
  <c r="B1587" i="1" s="1"/>
  <c r="B1588" i="1" s="1"/>
  <c r="B1589" i="1" s="1"/>
  <c r="B1590" i="1" s="1"/>
  <c r="B1591" i="1" s="1"/>
  <c r="B1592" i="1" s="1"/>
  <c r="B1593" i="1" s="1"/>
  <c r="B1594" i="1" s="1"/>
  <c r="B1595" i="1" s="1"/>
  <c r="B1596" i="1" s="1"/>
  <c r="B1597" i="1" s="1"/>
  <c r="B1598" i="1" s="1"/>
  <c r="B1599" i="1" s="1"/>
  <c r="B1600" i="1" s="1"/>
  <c r="B1601" i="1" s="1"/>
  <c r="B1602" i="1" s="1"/>
  <c r="B1603" i="1" s="1"/>
  <c r="B1604" i="1" s="1"/>
  <c r="B1605" i="1" s="1"/>
  <c r="B1606" i="1" s="1"/>
  <c r="B1607" i="1" s="1"/>
  <c r="B1608" i="1" s="1"/>
  <c r="B1609" i="1" s="1"/>
  <c r="B1610" i="1" s="1"/>
  <c r="B1611" i="1" s="1"/>
  <c r="B1612" i="1" s="1"/>
  <c r="B1613" i="1" s="1"/>
  <c r="B1614" i="1" s="1"/>
  <c r="B1615" i="1" s="1"/>
  <c r="B1616" i="1" s="1"/>
  <c r="B1617" i="1" s="1"/>
  <c r="B1618" i="1" s="1"/>
  <c r="B1619" i="1" s="1"/>
  <c r="B1620" i="1" s="1"/>
  <c r="B1621" i="1" s="1"/>
  <c r="B1622" i="1" s="1"/>
  <c r="B1623" i="1" s="1"/>
  <c r="B1624" i="1" s="1"/>
  <c r="B1625" i="1" s="1"/>
  <c r="B1626" i="1" s="1"/>
  <c r="B1627" i="1" s="1"/>
  <c r="B1628" i="1" s="1"/>
  <c r="B1629" i="1" s="1"/>
  <c r="B1630" i="1" s="1"/>
  <c r="B1631" i="1" s="1"/>
  <c r="B1632" i="1" s="1"/>
  <c r="B1633" i="1" s="1"/>
  <c r="B1634" i="1" s="1"/>
  <c r="B1635" i="1" s="1"/>
  <c r="B1636" i="1" s="1"/>
  <c r="B1637" i="1" s="1"/>
  <c r="B1638" i="1" s="1"/>
  <c r="B1639" i="1" s="1"/>
  <c r="B1640" i="1" s="1"/>
  <c r="B1641" i="1" s="1"/>
  <c r="B1642" i="1" s="1"/>
  <c r="B1643" i="1" s="1"/>
  <c r="B1644" i="1" s="1"/>
  <c r="B1645" i="1" s="1"/>
  <c r="B1646" i="1" s="1"/>
  <c r="B1647" i="1" s="1"/>
  <c r="B1648" i="1" s="1"/>
  <c r="B1649" i="1" s="1"/>
  <c r="B1650" i="1" s="1"/>
  <c r="B1651" i="1" s="1"/>
  <c r="B1652" i="1" s="1"/>
  <c r="B1653" i="1" s="1"/>
  <c r="B1654" i="1" s="1"/>
  <c r="B1655" i="1" s="1"/>
  <c r="B1656" i="1" s="1"/>
  <c r="B1657" i="1" s="1"/>
  <c r="B1658" i="1" s="1"/>
  <c r="B1659" i="1" s="1"/>
  <c r="B1660" i="1" s="1"/>
  <c r="B1661" i="1" s="1"/>
  <c r="B1662" i="1" s="1"/>
  <c r="B1663" i="1" s="1"/>
  <c r="B1664" i="1" s="1"/>
  <c r="B1665" i="1" s="1"/>
  <c r="B1666" i="1" s="1"/>
  <c r="B1667" i="1" s="1"/>
  <c r="B1668" i="1" s="1"/>
  <c r="B1669" i="1" s="1"/>
  <c r="B1670" i="1" s="1"/>
  <c r="B1671" i="1" s="1"/>
  <c r="B1672" i="1" s="1"/>
  <c r="B1673" i="1" s="1"/>
  <c r="B1674" i="1" s="1"/>
  <c r="B1675" i="1" s="1"/>
  <c r="B1676" i="1" s="1"/>
  <c r="B1677" i="1" s="1"/>
  <c r="B1678" i="1" s="1"/>
  <c r="B1679" i="1" s="1"/>
  <c r="B1680" i="1" s="1"/>
  <c r="B1681" i="1" s="1"/>
  <c r="B1682" i="1" s="1"/>
  <c r="B1683" i="1" s="1"/>
  <c r="B1684" i="1" s="1"/>
  <c r="B1685" i="1" s="1"/>
  <c r="B1686" i="1" s="1"/>
  <c r="B1687" i="1" s="1"/>
  <c r="B1688" i="1" s="1"/>
  <c r="B1689" i="1" s="1"/>
  <c r="B1690" i="1" s="1"/>
  <c r="B1691" i="1" s="1"/>
  <c r="B1692" i="1" s="1"/>
  <c r="B1693" i="1" s="1"/>
  <c r="B1694" i="1" s="1"/>
  <c r="B1695" i="1" s="1"/>
  <c r="B1696" i="1" s="1"/>
  <c r="B1697" i="1" s="1"/>
  <c r="B1698" i="1" s="1"/>
  <c r="B1699" i="1" s="1"/>
  <c r="B1700" i="1" s="1"/>
  <c r="B1701" i="1" s="1"/>
  <c r="B1702" i="1" s="1"/>
  <c r="B1703" i="1" s="1"/>
  <c r="B1704" i="1" s="1"/>
  <c r="B1705" i="1" s="1"/>
  <c r="B1706" i="1" s="1"/>
  <c r="B1707" i="1" s="1"/>
  <c r="B1708" i="1" s="1"/>
  <c r="B1709" i="1" s="1"/>
  <c r="B1710" i="1" s="1"/>
  <c r="B1711" i="1" s="1"/>
  <c r="B1712" i="1" s="1"/>
  <c r="B1713" i="1" s="1"/>
  <c r="B1714" i="1" s="1"/>
  <c r="B1715" i="1" s="1"/>
  <c r="B1716" i="1" s="1"/>
  <c r="B1717" i="1" s="1"/>
  <c r="B1718" i="1" s="1"/>
  <c r="B1719" i="1" s="1"/>
  <c r="B1720" i="1" s="1"/>
  <c r="B1721" i="1" s="1"/>
  <c r="B1722" i="1" s="1"/>
  <c r="B1723" i="1" s="1"/>
  <c r="B1724" i="1" s="1"/>
  <c r="B1725" i="1" s="1"/>
  <c r="B1726" i="1" s="1"/>
  <c r="B1727" i="1" s="1"/>
  <c r="B1728" i="1" s="1"/>
  <c r="B1729" i="1" s="1"/>
  <c r="B1730" i="1" s="1"/>
  <c r="B1731" i="1" s="1"/>
  <c r="B1732" i="1" s="1"/>
  <c r="B1733" i="1" s="1"/>
  <c r="B1734" i="1" s="1"/>
  <c r="B1735" i="1" s="1"/>
  <c r="B1736" i="1" s="1"/>
  <c r="B1737" i="1" s="1"/>
  <c r="O1413" i="1"/>
  <c r="P1413" i="1" s="1"/>
  <c r="Q1413" i="1" s="1"/>
  <c r="S1413" i="1" s="1"/>
  <c r="I1413" i="1"/>
  <c r="G1413" i="1"/>
  <c r="O1412" i="1"/>
  <c r="P1412" i="1" s="1"/>
  <c r="Q1412" i="1" s="1"/>
  <c r="S1412" i="1" s="1"/>
  <c r="I1412" i="1"/>
  <c r="B1412" i="1"/>
  <c r="O1411" i="1"/>
  <c r="P1411" i="1" s="1"/>
  <c r="Q1411" i="1" s="1"/>
  <c r="S1411" i="1" s="1"/>
  <c r="I1411" i="1"/>
  <c r="G1411" i="1"/>
  <c r="O1410" i="1"/>
  <c r="P1410" i="1" s="1"/>
  <c r="Q1410" i="1" s="1"/>
  <c r="S1410" i="1" s="1"/>
  <c r="J1410" i="1" s="1"/>
  <c r="Y1410" i="1" s="1"/>
  <c r="O1409" i="1"/>
  <c r="P1409" i="1" s="1"/>
  <c r="Q1409" i="1" s="1"/>
  <c r="S1409" i="1" s="1"/>
  <c r="O1408" i="1"/>
  <c r="P1408" i="1" s="1"/>
  <c r="Q1408" i="1" s="1"/>
  <c r="S1408" i="1" s="1"/>
  <c r="J1408" i="1" s="1"/>
  <c r="Y1408" i="1" s="1"/>
  <c r="O1407" i="1"/>
  <c r="P1407" i="1" s="1"/>
  <c r="Q1407" i="1" s="1"/>
  <c r="S1407" i="1" s="1"/>
  <c r="O1406" i="1"/>
  <c r="P1406" i="1" s="1"/>
  <c r="Q1406" i="1" s="1"/>
  <c r="S1406" i="1" s="1"/>
  <c r="J1406" i="1" s="1"/>
  <c r="Y1406" i="1" s="1"/>
  <c r="O1405" i="1"/>
  <c r="P1405" i="1" s="1"/>
  <c r="Q1405" i="1" s="1"/>
  <c r="S1405" i="1" s="1"/>
  <c r="O1404" i="1"/>
  <c r="P1404" i="1" s="1"/>
  <c r="Q1404" i="1" s="1"/>
  <c r="S1404" i="1" s="1"/>
  <c r="J1404" i="1" s="1"/>
  <c r="Y1404" i="1" s="1"/>
  <c r="O1403" i="1"/>
  <c r="P1403" i="1" s="1"/>
  <c r="Q1403" i="1" s="1"/>
  <c r="S1403" i="1" s="1"/>
  <c r="O1402" i="1"/>
  <c r="P1402" i="1" s="1"/>
  <c r="Q1402" i="1" s="1"/>
  <c r="S1402" i="1" s="1"/>
  <c r="J1402" i="1" s="1"/>
  <c r="Y1402" i="1" s="1"/>
  <c r="O1401" i="1"/>
  <c r="P1401" i="1" s="1"/>
  <c r="Q1401" i="1" s="1"/>
  <c r="S1401" i="1" s="1"/>
  <c r="O1400" i="1"/>
  <c r="P1400" i="1" s="1"/>
  <c r="Q1400" i="1" s="1"/>
  <c r="S1400" i="1" s="1"/>
  <c r="J1400" i="1" s="1"/>
  <c r="Y1400" i="1" s="1"/>
  <c r="O1399" i="1"/>
  <c r="P1399" i="1" s="1"/>
  <c r="Q1399" i="1" s="1"/>
  <c r="S1399" i="1" s="1"/>
  <c r="O1398" i="1"/>
  <c r="P1398" i="1" s="1"/>
  <c r="Q1398" i="1" s="1"/>
  <c r="S1398" i="1" s="1"/>
  <c r="J1398" i="1" s="1"/>
  <c r="Y1398" i="1" s="1"/>
  <c r="O1397" i="1"/>
  <c r="P1397" i="1" s="1"/>
  <c r="Q1397" i="1" s="1"/>
  <c r="S1397" i="1" s="1"/>
  <c r="O1396" i="1"/>
  <c r="P1396" i="1" s="1"/>
  <c r="Q1396" i="1" s="1"/>
  <c r="S1396" i="1" s="1"/>
  <c r="J1396" i="1" s="1"/>
  <c r="Y1396" i="1" s="1"/>
  <c r="O1395" i="1"/>
  <c r="P1395" i="1" s="1"/>
  <c r="Q1395" i="1" s="1"/>
  <c r="S1395" i="1" s="1"/>
  <c r="O1394" i="1"/>
  <c r="P1394" i="1" s="1"/>
  <c r="Q1394" i="1" s="1"/>
  <c r="S1394" i="1" s="1"/>
  <c r="J1394" i="1" s="1"/>
  <c r="Y1394" i="1" s="1"/>
  <c r="O1393" i="1"/>
  <c r="P1393" i="1" s="1"/>
  <c r="Q1393" i="1" s="1"/>
  <c r="S1393" i="1" s="1"/>
  <c r="O1392" i="1"/>
  <c r="P1392" i="1" s="1"/>
  <c r="Q1392" i="1" s="1"/>
  <c r="S1392" i="1" s="1"/>
  <c r="J1392" i="1" s="1"/>
  <c r="Y1392" i="1" s="1"/>
  <c r="O1391" i="1"/>
  <c r="P1391" i="1" s="1"/>
  <c r="Q1391" i="1" s="1"/>
  <c r="S1391" i="1" s="1"/>
  <c r="O1390" i="1"/>
  <c r="P1390" i="1" s="1"/>
  <c r="Q1390" i="1" s="1"/>
  <c r="S1390" i="1" s="1"/>
  <c r="J1390" i="1" s="1"/>
  <c r="Y1390" i="1" s="1"/>
  <c r="I1390" i="1"/>
  <c r="G1390" i="1"/>
  <c r="O1389" i="1"/>
  <c r="P1389" i="1" s="1"/>
  <c r="Q1389" i="1" s="1"/>
  <c r="S1389" i="1" s="1"/>
  <c r="I1389" i="1"/>
  <c r="G1389" i="1"/>
  <c r="O1388" i="1"/>
  <c r="P1388" i="1" s="1"/>
  <c r="Q1388" i="1" s="1"/>
  <c r="S1388" i="1" s="1"/>
  <c r="J1388" i="1" s="1"/>
  <c r="Y1388" i="1" s="1"/>
  <c r="I1388" i="1"/>
  <c r="G1388" i="1"/>
  <c r="O1387" i="1"/>
  <c r="P1387" i="1" s="1"/>
  <c r="Q1387" i="1" s="1"/>
  <c r="S1387" i="1" s="1"/>
  <c r="I1387" i="1"/>
  <c r="O1386" i="1"/>
  <c r="P1386" i="1" s="1"/>
  <c r="Q1386" i="1" s="1"/>
  <c r="S1386" i="1" s="1"/>
  <c r="J1386" i="1" s="1"/>
  <c r="O1385" i="1"/>
  <c r="P1385" i="1" s="1"/>
  <c r="Q1385" i="1" s="1"/>
  <c r="S1385" i="1" s="1"/>
  <c r="O1384" i="1"/>
  <c r="P1384" i="1" s="1"/>
  <c r="Q1384" i="1" s="1"/>
  <c r="S1384" i="1" s="1"/>
  <c r="J1384" i="1" s="1"/>
  <c r="O1383" i="1"/>
  <c r="P1383" i="1" s="1"/>
  <c r="Q1383" i="1" s="1"/>
  <c r="S1383" i="1" s="1"/>
  <c r="O1382" i="1"/>
  <c r="P1382" i="1" s="1"/>
  <c r="Q1382" i="1" s="1"/>
  <c r="S1382" i="1" s="1"/>
  <c r="J1382" i="1" s="1"/>
  <c r="O1381" i="1"/>
  <c r="P1381" i="1" s="1"/>
  <c r="Q1381" i="1" s="1"/>
  <c r="S1381" i="1" s="1"/>
  <c r="O1380" i="1"/>
  <c r="P1380" i="1" s="1"/>
  <c r="Q1380" i="1" s="1"/>
  <c r="S1380" i="1" s="1"/>
  <c r="J1380" i="1" s="1"/>
  <c r="O1379" i="1"/>
  <c r="P1379" i="1" s="1"/>
  <c r="Q1379" i="1" s="1"/>
  <c r="S1379" i="1" s="1"/>
  <c r="O1378" i="1"/>
  <c r="P1378" i="1" s="1"/>
  <c r="Q1378" i="1" s="1"/>
  <c r="S1378" i="1" s="1"/>
  <c r="J1378" i="1" s="1"/>
  <c r="O1377" i="1"/>
  <c r="P1377" i="1" s="1"/>
  <c r="Q1377" i="1" s="1"/>
  <c r="S1377" i="1" s="1"/>
  <c r="O1376" i="1"/>
  <c r="P1376" i="1" s="1"/>
  <c r="Q1376" i="1" s="1"/>
  <c r="S1376" i="1" s="1"/>
  <c r="J1376" i="1" s="1"/>
  <c r="O1375" i="1"/>
  <c r="P1375" i="1" s="1"/>
  <c r="Q1375" i="1" s="1"/>
  <c r="S1375" i="1" s="1"/>
  <c r="O1374" i="1"/>
  <c r="P1374" i="1" s="1"/>
  <c r="Q1374" i="1" s="1"/>
  <c r="S1374" i="1" s="1"/>
  <c r="J1374" i="1" s="1"/>
  <c r="O1373" i="1"/>
  <c r="P1373" i="1" s="1"/>
  <c r="Q1373" i="1" s="1"/>
  <c r="S1373" i="1" s="1"/>
  <c r="O1372" i="1"/>
  <c r="P1372" i="1" s="1"/>
  <c r="Q1372" i="1" s="1"/>
  <c r="S1372" i="1" s="1"/>
  <c r="J1372" i="1" s="1"/>
  <c r="O1371" i="1"/>
  <c r="P1371" i="1" s="1"/>
  <c r="Q1371" i="1" s="1"/>
  <c r="S1371" i="1" s="1"/>
  <c r="O1370" i="1"/>
  <c r="P1370" i="1" s="1"/>
  <c r="Q1370" i="1" s="1"/>
  <c r="S1370" i="1" s="1"/>
  <c r="J1370" i="1" s="1"/>
  <c r="O1369" i="1"/>
  <c r="P1369" i="1" s="1"/>
  <c r="Q1369" i="1" s="1"/>
  <c r="S1369" i="1" s="1"/>
  <c r="O1368" i="1"/>
  <c r="P1368" i="1" s="1"/>
  <c r="Q1368" i="1" s="1"/>
  <c r="S1368" i="1" s="1"/>
  <c r="J1368" i="1" s="1"/>
  <c r="O1367" i="1"/>
  <c r="P1367" i="1" s="1"/>
  <c r="Q1367" i="1" s="1"/>
  <c r="S1367" i="1" s="1"/>
  <c r="O1366" i="1"/>
  <c r="P1366" i="1" s="1"/>
  <c r="Q1366" i="1" s="1"/>
  <c r="S1366" i="1" s="1"/>
  <c r="J1366" i="1" s="1"/>
  <c r="O1365" i="1"/>
  <c r="P1365" i="1" s="1"/>
  <c r="Q1365" i="1" s="1"/>
  <c r="S1365" i="1" s="1"/>
  <c r="O1364" i="1"/>
  <c r="P1364" i="1" s="1"/>
  <c r="Q1364" i="1" s="1"/>
  <c r="S1364" i="1" s="1"/>
  <c r="J1364" i="1" s="1"/>
  <c r="O1363" i="1"/>
  <c r="P1363" i="1" s="1"/>
  <c r="Q1363" i="1" s="1"/>
  <c r="S1363" i="1" s="1"/>
  <c r="O1362" i="1"/>
  <c r="P1362" i="1" s="1"/>
  <c r="Q1362" i="1" s="1"/>
  <c r="S1362" i="1" s="1"/>
  <c r="J1362" i="1" s="1"/>
  <c r="O1361" i="1"/>
  <c r="P1361" i="1" s="1"/>
  <c r="Q1361" i="1" s="1"/>
  <c r="S1361" i="1" s="1"/>
  <c r="O1360" i="1"/>
  <c r="P1360" i="1" s="1"/>
  <c r="Q1360" i="1" s="1"/>
  <c r="S1360" i="1" s="1"/>
  <c r="J1360" i="1" s="1"/>
  <c r="O1359" i="1"/>
  <c r="P1359" i="1" s="1"/>
  <c r="Q1359" i="1" s="1"/>
  <c r="S1359" i="1" s="1"/>
  <c r="O1358" i="1"/>
  <c r="P1358" i="1" s="1"/>
  <c r="Q1358" i="1" s="1"/>
  <c r="S1358" i="1" s="1"/>
  <c r="J1358" i="1" s="1"/>
  <c r="O1357" i="1"/>
  <c r="P1357" i="1" s="1"/>
  <c r="Q1357" i="1" s="1"/>
  <c r="S1357" i="1" s="1"/>
  <c r="P1356" i="1"/>
  <c r="Q1356" i="1" s="1"/>
  <c r="S1356" i="1" s="1"/>
  <c r="J1356" i="1" s="1"/>
  <c r="O1356" i="1"/>
  <c r="O1355" i="1"/>
  <c r="P1355" i="1" s="1"/>
  <c r="Q1355" i="1" s="1"/>
  <c r="S1355" i="1" s="1"/>
  <c r="O1354" i="1"/>
  <c r="P1354" i="1" s="1"/>
  <c r="Q1354" i="1" s="1"/>
  <c r="S1354" i="1" s="1"/>
  <c r="O1353" i="1"/>
  <c r="P1353" i="1" s="1"/>
  <c r="Q1353" i="1" s="1"/>
  <c r="S1353" i="1" s="1"/>
  <c r="O1352" i="1"/>
  <c r="P1352" i="1" s="1"/>
  <c r="Q1352" i="1" s="1"/>
  <c r="S1352" i="1" s="1"/>
  <c r="J1352" i="1" s="1"/>
  <c r="O1351" i="1"/>
  <c r="P1351" i="1" s="1"/>
  <c r="Q1351" i="1" s="1"/>
  <c r="S1351" i="1" s="1"/>
  <c r="O1350" i="1"/>
  <c r="P1350" i="1" s="1"/>
  <c r="Q1350" i="1" s="1"/>
  <c r="S1350" i="1" s="1"/>
  <c r="J1350" i="1" s="1"/>
  <c r="O1349" i="1"/>
  <c r="P1349" i="1" s="1"/>
  <c r="Q1349" i="1" s="1"/>
  <c r="S1349" i="1" s="1"/>
  <c r="O1348" i="1"/>
  <c r="P1348" i="1" s="1"/>
  <c r="Q1348" i="1" s="1"/>
  <c r="S1348" i="1" s="1"/>
  <c r="J1348" i="1" s="1"/>
  <c r="O1347" i="1"/>
  <c r="P1347" i="1" s="1"/>
  <c r="Q1347" i="1" s="1"/>
  <c r="S1347" i="1" s="1"/>
  <c r="O1346" i="1"/>
  <c r="P1346" i="1" s="1"/>
  <c r="Q1346" i="1" s="1"/>
  <c r="S1346" i="1" s="1"/>
  <c r="J1346" i="1" s="1"/>
  <c r="O1345" i="1"/>
  <c r="P1345" i="1" s="1"/>
  <c r="Q1345" i="1" s="1"/>
  <c r="S1345" i="1" s="1"/>
  <c r="O1344" i="1"/>
  <c r="P1344" i="1" s="1"/>
  <c r="Q1344" i="1" s="1"/>
  <c r="S1344" i="1" s="1"/>
  <c r="J1344" i="1" s="1"/>
  <c r="O1343" i="1"/>
  <c r="P1343" i="1" s="1"/>
  <c r="Q1343" i="1" s="1"/>
  <c r="S1343" i="1" s="1"/>
  <c r="O1342" i="1"/>
  <c r="P1342" i="1" s="1"/>
  <c r="Q1342" i="1" s="1"/>
  <c r="S1342" i="1" s="1"/>
  <c r="J1342" i="1" s="1"/>
  <c r="O1341" i="1"/>
  <c r="P1341" i="1" s="1"/>
  <c r="Q1341" i="1" s="1"/>
  <c r="S1341" i="1" s="1"/>
  <c r="O1340" i="1"/>
  <c r="P1340" i="1" s="1"/>
  <c r="Q1340" i="1" s="1"/>
  <c r="S1340" i="1" s="1"/>
  <c r="J1340" i="1" s="1"/>
  <c r="O1339" i="1"/>
  <c r="P1339" i="1" s="1"/>
  <c r="Q1339" i="1" s="1"/>
  <c r="S1339" i="1" s="1"/>
  <c r="I1339" i="1"/>
  <c r="G1339" i="1"/>
  <c r="O1338" i="1"/>
  <c r="P1338" i="1" s="1"/>
  <c r="Q1338" i="1" s="1"/>
  <c r="S1338" i="1" s="1"/>
  <c r="J1338" i="1" s="1"/>
  <c r="I1338" i="1"/>
  <c r="G1338" i="1"/>
  <c r="O1337" i="1"/>
  <c r="P1337" i="1" s="1"/>
  <c r="Q1337" i="1" s="1"/>
  <c r="S1337" i="1" s="1"/>
  <c r="I1337" i="1"/>
  <c r="G1337" i="1"/>
  <c r="O1336" i="1"/>
  <c r="P1336" i="1" s="1"/>
  <c r="Q1336" i="1" s="1"/>
  <c r="S1336" i="1" s="1"/>
  <c r="J1336" i="1" s="1"/>
  <c r="I1336" i="1"/>
  <c r="G1336" i="1"/>
  <c r="O1335" i="1"/>
  <c r="P1335" i="1" s="1"/>
  <c r="Q1335" i="1" s="1"/>
  <c r="S1335" i="1" s="1"/>
  <c r="I1335" i="1"/>
  <c r="G1335" i="1"/>
  <c r="O1334" i="1"/>
  <c r="P1334" i="1" s="1"/>
  <c r="Q1334" i="1" s="1"/>
  <c r="S1334" i="1" s="1"/>
  <c r="J1334" i="1" s="1"/>
  <c r="I1334" i="1"/>
  <c r="G1334" i="1"/>
  <c r="O1333" i="1"/>
  <c r="P1333" i="1" s="1"/>
  <c r="Q1333" i="1" s="1"/>
  <c r="S1333" i="1" s="1"/>
  <c r="I1333" i="1"/>
  <c r="G1333" i="1"/>
  <c r="O1332" i="1"/>
  <c r="P1332" i="1" s="1"/>
  <c r="Q1332" i="1" s="1"/>
  <c r="S1332" i="1" s="1"/>
  <c r="J1332" i="1" s="1"/>
  <c r="I1332" i="1"/>
  <c r="G1332" i="1"/>
  <c r="O1331" i="1"/>
  <c r="P1331" i="1" s="1"/>
  <c r="Q1331" i="1" s="1"/>
  <c r="S1331" i="1" s="1"/>
  <c r="I1331" i="1"/>
  <c r="G1331" i="1"/>
  <c r="O1330" i="1"/>
  <c r="P1330" i="1" s="1"/>
  <c r="Q1330" i="1" s="1"/>
  <c r="S1330" i="1" s="1"/>
  <c r="J1330" i="1" s="1"/>
  <c r="I1330" i="1"/>
  <c r="G1330" i="1"/>
  <c r="O1329" i="1"/>
  <c r="P1329" i="1" s="1"/>
  <c r="Q1329" i="1" s="1"/>
  <c r="S1329" i="1" s="1"/>
  <c r="I1329" i="1"/>
  <c r="G1329" i="1"/>
  <c r="O1328" i="1"/>
  <c r="P1328" i="1" s="1"/>
  <c r="Q1328" i="1" s="1"/>
  <c r="S1328" i="1" s="1"/>
  <c r="J1328" i="1" s="1"/>
  <c r="I1328" i="1"/>
  <c r="G1328" i="1"/>
  <c r="O1327" i="1"/>
  <c r="P1327" i="1" s="1"/>
  <c r="Q1327" i="1" s="1"/>
  <c r="S1327" i="1" s="1"/>
  <c r="I1327" i="1"/>
  <c r="G1327" i="1"/>
  <c r="O1326" i="1"/>
  <c r="P1326" i="1" s="1"/>
  <c r="Q1326" i="1" s="1"/>
  <c r="S1326" i="1" s="1"/>
  <c r="J1326" i="1" s="1"/>
  <c r="I1326" i="1"/>
  <c r="G1326" i="1"/>
  <c r="O1325" i="1"/>
  <c r="P1325" i="1" s="1"/>
  <c r="Q1325" i="1" s="1"/>
  <c r="S1325" i="1" s="1"/>
  <c r="O1324" i="1"/>
  <c r="P1324" i="1" s="1"/>
  <c r="Q1324" i="1" s="1"/>
  <c r="S1324" i="1" s="1"/>
  <c r="J1324" i="1" s="1"/>
  <c r="O1323" i="1"/>
  <c r="P1323" i="1" s="1"/>
  <c r="Q1323" i="1" s="1"/>
  <c r="S1323" i="1" s="1"/>
  <c r="O1322" i="1"/>
  <c r="P1322" i="1" s="1"/>
  <c r="Q1322" i="1" s="1"/>
  <c r="S1322" i="1" s="1"/>
  <c r="J1322" i="1" s="1"/>
  <c r="O1321" i="1"/>
  <c r="P1321" i="1" s="1"/>
  <c r="Q1321" i="1" s="1"/>
  <c r="S1321" i="1" s="1"/>
  <c r="O1320" i="1"/>
  <c r="P1320" i="1" s="1"/>
  <c r="Q1320" i="1" s="1"/>
  <c r="S1320" i="1" s="1"/>
  <c r="J1320" i="1" s="1"/>
  <c r="O1319" i="1"/>
  <c r="P1319" i="1" s="1"/>
  <c r="Q1319" i="1" s="1"/>
  <c r="S1319" i="1" s="1"/>
  <c r="O1318" i="1"/>
  <c r="P1318" i="1" s="1"/>
  <c r="Q1318" i="1" s="1"/>
  <c r="S1318" i="1" s="1"/>
  <c r="J1318" i="1" s="1"/>
  <c r="O1317" i="1"/>
  <c r="P1317" i="1" s="1"/>
  <c r="Q1317" i="1" s="1"/>
  <c r="S1317" i="1" s="1"/>
  <c r="O1316" i="1"/>
  <c r="P1316" i="1" s="1"/>
  <c r="Q1316" i="1" s="1"/>
  <c r="S1316" i="1" s="1"/>
  <c r="J1316" i="1" s="1"/>
  <c r="O1315" i="1"/>
  <c r="P1315" i="1" s="1"/>
  <c r="Q1315" i="1" s="1"/>
  <c r="S1315" i="1" s="1"/>
  <c r="O1314" i="1"/>
  <c r="P1314" i="1" s="1"/>
  <c r="Q1314" i="1" s="1"/>
  <c r="S1314" i="1" s="1"/>
  <c r="J1314" i="1" s="1"/>
  <c r="O1313" i="1"/>
  <c r="P1313" i="1" s="1"/>
  <c r="Q1313" i="1" s="1"/>
  <c r="S1313" i="1" s="1"/>
  <c r="O1312" i="1"/>
  <c r="P1312" i="1" s="1"/>
  <c r="Q1312" i="1" s="1"/>
  <c r="S1312" i="1" s="1"/>
  <c r="J1312" i="1" s="1"/>
  <c r="I1312" i="1"/>
  <c r="O1311" i="1"/>
  <c r="P1311" i="1" s="1"/>
  <c r="Q1311" i="1" s="1"/>
  <c r="S1311" i="1" s="1"/>
  <c r="J1311" i="1" s="1"/>
  <c r="I1311" i="1"/>
  <c r="O1310" i="1"/>
  <c r="P1310" i="1" s="1"/>
  <c r="Q1310" i="1" s="1"/>
  <c r="S1310" i="1" s="1"/>
  <c r="J1310" i="1" s="1"/>
  <c r="I1310" i="1"/>
  <c r="O1309" i="1"/>
  <c r="P1309" i="1" s="1"/>
  <c r="Q1309" i="1" s="1"/>
  <c r="S1309" i="1" s="1"/>
  <c r="J1309" i="1" s="1"/>
  <c r="O1308" i="1"/>
  <c r="P1308" i="1" s="1"/>
  <c r="Q1308" i="1" s="1"/>
  <c r="S1308" i="1" s="1"/>
  <c r="O1307" i="1"/>
  <c r="P1307" i="1" s="1"/>
  <c r="Q1307" i="1" s="1"/>
  <c r="S1307" i="1" s="1"/>
  <c r="J1307" i="1" s="1"/>
  <c r="O1306" i="1"/>
  <c r="P1306" i="1" s="1"/>
  <c r="Q1306" i="1" s="1"/>
  <c r="S1306" i="1" s="1"/>
  <c r="O1305" i="1"/>
  <c r="P1305" i="1" s="1"/>
  <c r="Q1305" i="1" s="1"/>
  <c r="S1305" i="1" s="1"/>
  <c r="J1305" i="1" s="1"/>
  <c r="O1304" i="1"/>
  <c r="P1304" i="1" s="1"/>
  <c r="Q1304" i="1" s="1"/>
  <c r="S1304" i="1" s="1"/>
  <c r="O1303" i="1"/>
  <c r="P1303" i="1" s="1"/>
  <c r="Q1303" i="1" s="1"/>
  <c r="S1303" i="1" s="1"/>
  <c r="J1303" i="1" s="1"/>
  <c r="O1302" i="1"/>
  <c r="P1302" i="1" s="1"/>
  <c r="Q1302" i="1" s="1"/>
  <c r="S1302" i="1" s="1"/>
  <c r="O1301" i="1"/>
  <c r="P1301" i="1" s="1"/>
  <c r="Q1301" i="1" s="1"/>
  <c r="S1301" i="1" s="1"/>
  <c r="J1301" i="1" s="1"/>
  <c r="O1300" i="1"/>
  <c r="P1300" i="1" s="1"/>
  <c r="Q1300" i="1" s="1"/>
  <c r="S1300" i="1" s="1"/>
  <c r="O1299" i="1"/>
  <c r="P1299" i="1" s="1"/>
  <c r="Q1299" i="1" s="1"/>
  <c r="S1299" i="1" s="1"/>
  <c r="J1299" i="1" s="1"/>
  <c r="O1298" i="1"/>
  <c r="P1298" i="1" s="1"/>
  <c r="Q1298" i="1" s="1"/>
  <c r="S1298" i="1" s="1"/>
  <c r="O1297" i="1"/>
  <c r="P1297" i="1" s="1"/>
  <c r="Q1297" i="1" s="1"/>
  <c r="S1297" i="1" s="1"/>
  <c r="J1297" i="1" s="1"/>
  <c r="O1296" i="1"/>
  <c r="P1296" i="1" s="1"/>
  <c r="Q1296" i="1" s="1"/>
  <c r="S1296" i="1" s="1"/>
  <c r="O1295" i="1"/>
  <c r="P1295" i="1" s="1"/>
  <c r="Q1295" i="1" s="1"/>
  <c r="S1295" i="1" s="1"/>
  <c r="J1295" i="1" s="1"/>
  <c r="O1294" i="1"/>
  <c r="P1294" i="1" s="1"/>
  <c r="Q1294" i="1" s="1"/>
  <c r="S1294" i="1" s="1"/>
  <c r="P1293" i="1"/>
  <c r="Q1293" i="1" s="1"/>
  <c r="S1293" i="1" s="1"/>
  <c r="J1293" i="1" s="1"/>
  <c r="O1293" i="1"/>
  <c r="O1292" i="1"/>
  <c r="P1292" i="1" s="1"/>
  <c r="Q1292" i="1" s="1"/>
  <c r="S1292" i="1" s="1"/>
  <c r="O1291" i="1"/>
  <c r="P1291" i="1" s="1"/>
  <c r="Q1291" i="1" s="1"/>
  <c r="S1291" i="1" s="1"/>
  <c r="J1291" i="1" s="1"/>
  <c r="O1290" i="1"/>
  <c r="P1290" i="1" s="1"/>
  <c r="Q1290" i="1" s="1"/>
  <c r="S1290" i="1" s="1"/>
  <c r="O1289" i="1"/>
  <c r="P1289" i="1" s="1"/>
  <c r="Q1289" i="1" s="1"/>
  <c r="S1289" i="1" s="1"/>
  <c r="J1289" i="1" s="1"/>
  <c r="O1288" i="1"/>
  <c r="P1288" i="1" s="1"/>
  <c r="Q1288" i="1" s="1"/>
  <c r="S1288" i="1" s="1"/>
  <c r="O1287" i="1"/>
  <c r="P1287" i="1" s="1"/>
  <c r="Q1287" i="1" s="1"/>
  <c r="S1287" i="1" s="1"/>
  <c r="J1287" i="1" s="1"/>
  <c r="O1286" i="1"/>
  <c r="P1286" i="1" s="1"/>
  <c r="Q1286" i="1" s="1"/>
  <c r="S1286" i="1" s="1"/>
  <c r="O1285" i="1"/>
  <c r="P1285" i="1" s="1"/>
  <c r="Q1285" i="1" s="1"/>
  <c r="S1285" i="1" s="1"/>
  <c r="J1285" i="1" s="1"/>
  <c r="O1284" i="1"/>
  <c r="P1284" i="1" s="1"/>
  <c r="Q1284" i="1" s="1"/>
  <c r="S1284" i="1" s="1"/>
  <c r="O1283" i="1"/>
  <c r="P1283" i="1" s="1"/>
  <c r="Q1283" i="1" s="1"/>
  <c r="S1283" i="1" s="1"/>
  <c r="J1283" i="1" s="1"/>
  <c r="O1282" i="1"/>
  <c r="P1282" i="1" s="1"/>
  <c r="Q1282" i="1" s="1"/>
  <c r="S1282" i="1" s="1"/>
  <c r="I1282" i="1"/>
  <c r="O1281" i="1"/>
  <c r="P1281" i="1" s="1"/>
  <c r="Q1281" i="1" s="1"/>
  <c r="S1281" i="1" s="1"/>
  <c r="O1280" i="1"/>
  <c r="P1280" i="1" s="1"/>
  <c r="Q1280" i="1" s="1"/>
  <c r="S1280" i="1" s="1"/>
  <c r="J1280" i="1" s="1"/>
  <c r="O1279" i="1"/>
  <c r="P1279" i="1" s="1"/>
  <c r="Q1279" i="1" s="1"/>
  <c r="S1279" i="1" s="1"/>
  <c r="O1278" i="1"/>
  <c r="P1278" i="1" s="1"/>
  <c r="Q1278" i="1" s="1"/>
  <c r="S1278" i="1" s="1"/>
  <c r="J1278" i="1" s="1"/>
  <c r="O1277" i="1"/>
  <c r="P1277" i="1" s="1"/>
  <c r="Q1277" i="1" s="1"/>
  <c r="S1277" i="1" s="1"/>
  <c r="O1276" i="1"/>
  <c r="P1276" i="1" s="1"/>
  <c r="Q1276" i="1" s="1"/>
  <c r="S1276" i="1" s="1"/>
  <c r="J1276" i="1" s="1"/>
  <c r="O1275" i="1"/>
  <c r="P1275" i="1" s="1"/>
  <c r="Q1275" i="1" s="1"/>
  <c r="S1275" i="1" s="1"/>
  <c r="O1274" i="1"/>
  <c r="P1274" i="1" s="1"/>
  <c r="Q1274" i="1" s="1"/>
  <c r="S1274" i="1" s="1"/>
  <c r="J1274" i="1" s="1"/>
  <c r="O1273" i="1"/>
  <c r="P1273" i="1" s="1"/>
  <c r="Q1273" i="1" s="1"/>
  <c r="S1273" i="1" s="1"/>
  <c r="O1272" i="1"/>
  <c r="P1272" i="1" s="1"/>
  <c r="Q1272" i="1" s="1"/>
  <c r="S1272" i="1" s="1"/>
  <c r="J1272" i="1" s="1"/>
  <c r="I1272" i="1"/>
  <c r="O1271" i="1"/>
  <c r="P1271" i="1" s="1"/>
  <c r="Q1271" i="1" s="1"/>
  <c r="S1271" i="1" s="1"/>
  <c r="J1271" i="1" s="1"/>
  <c r="O1270" i="1"/>
  <c r="P1270" i="1" s="1"/>
  <c r="Q1270" i="1" s="1"/>
  <c r="S1270" i="1" s="1"/>
  <c r="O1269" i="1"/>
  <c r="P1269" i="1" s="1"/>
  <c r="Q1269" i="1" s="1"/>
  <c r="S1269" i="1" s="1"/>
  <c r="J1269" i="1" s="1"/>
  <c r="O1268" i="1"/>
  <c r="P1268" i="1" s="1"/>
  <c r="Q1268" i="1" s="1"/>
  <c r="S1268" i="1" s="1"/>
  <c r="O1267" i="1"/>
  <c r="P1267" i="1" s="1"/>
  <c r="Q1267" i="1" s="1"/>
  <c r="S1267" i="1" s="1"/>
  <c r="J1267" i="1" s="1"/>
  <c r="O1266" i="1"/>
  <c r="P1266" i="1" s="1"/>
  <c r="Q1266" i="1" s="1"/>
  <c r="S1266" i="1" s="1"/>
  <c r="O1265" i="1"/>
  <c r="P1265" i="1" s="1"/>
  <c r="Q1265" i="1" s="1"/>
  <c r="S1265" i="1" s="1"/>
  <c r="J1265" i="1" s="1"/>
  <c r="O1264" i="1"/>
  <c r="P1264" i="1" s="1"/>
  <c r="Q1264" i="1" s="1"/>
  <c r="S1264" i="1" s="1"/>
  <c r="O1263" i="1"/>
  <c r="P1263" i="1" s="1"/>
  <c r="Q1263" i="1" s="1"/>
  <c r="S1263" i="1" s="1"/>
  <c r="J1263" i="1" s="1"/>
  <c r="O1262" i="1"/>
  <c r="P1262" i="1" s="1"/>
  <c r="Q1262" i="1" s="1"/>
  <c r="S1262" i="1" s="1"/>
  <c r="O1261" i="1"/>
  <c r="P1261" i="1" s="1"/>
  <c r="Q1261" i="1" s="1"/>
  <c r="S1261" i="1" s="1"/>
  <c r="J1261" i="1" s="1"/>
  <c r="O1260" i="1"/>
  <c r="P1260" i="1" s="1"/>
  <c r="Q1260" i="1" s="1"/>
  <c r="S1260" i="1" s="1"/>
  <c r="O1259" i="1"/>
  <c r="P1259" i="1" s="1"/>
  <c r="Q1259" i="1" s="1"/>
  <c r="S1259" i="1" s="1"/>
  <c r="J1259" i="1" s="1"/>
  <c r="O1258" i="1"/>
  <c r="P1258" i="1" s="1"/>
  <c r="Q1258" i="1" s="1"/>
  <c r="S1258" i="1" s="1"/>
  <c r="O1257" i="1"/>
  <c r="P1257" i="1" s="1"/>
  <c r="Q1257" i="1" s="1"/>
  <c r="S1257" i="1" s="1"/>
  <c r="J1257" i="1" s="1"/>
  <c r="O1256" i="1"/>
  <c r="P1256" i="1" s="1"/>
  <c r="Q1256" i="1" s="1"/>
  <c r="S1256" i="1" s="1"/>
  <c r="O1255" i="1"/>
  <c r="P1255" i="1" s="1"/>
  <c r="Q1255" i="1" s="1"/>
  <c r="S1255" i="1" s="1"/>
  <c r="J1255" i="1" s="1"/>
  <c r="O1254" i="1"/>
  <c r="P1254" i="1" s="1"/>
  <c r="Q1254" i="1" s="1"/>
  <c r="S1254" i="1" s="1"/>
  <c r="O1253" i="1"/>
  <c r="P1253" i="1" s="1"/>
  <c r="Q1253" i="1" s="1"/>
  <c r="S1253" i="1" s="1"/>
  <c r="J1253" i="1" s="1"/>
  <c r="O1252" i="1"/>
  <c r="P1252" i="1" s="1"/>
  <c r="Q1252" i="1" s="1"/>
  <c r="S1252" i="1" s="1"/>
  <c r="O1251" i="1"/>
  <c r="P1251" i="1" s="1"/>
  <c r="Q1251" i="1" s="1"/>
  <c r="S1251" i="1" s="1"/>
  <c r="J1251" i="1" s="1"/>
  <c r="O1250" i="1"/>
  <c r="P1250" i="1" s="1"/>
  <c r="Q1250" i="1" s="1"/>
  <c r="S1250" i="1" s="1"/>
  <c r="O1249" i="1"/>
  <c r="P1249" i="1" s="1"/>
  <c r="Q1249" i="1" s="1"/>
  <c r="S1249" i="1" s="1"/>
  <c r="J1249" i="1" s="1"/>
  <c r="O1248" i="1"/>
  <c r="P1248" i="1" s="1"/>
  <c r="Q1248" i="1" s="1"/>
  <c r="S1248" i="1" s="1"/>
  <c r="O1247" i="1"/>
  <c r="P1247" i="1" s="1"/>
  <c r="Q1247" i="1" s="1"/>
  <c r="S1247" i="1" s="1"/>
  <c r="J1247" i="1" s="1"/>
  <c r="O1246" i="1"/>
  <c r="P1246" i="1" s="1"/>
  <c r="Q1246" i="1" s="1"/>
  <c r="S1246" i="1" s="1"/>
  <c r="J1246" i="1" s="1"/>
  <c r="Y1246" i="1" s="1"/>
  <c r="O1245" i="1"/>
  <c r="P1245" i="1" s="1"/>
  <c r="Q1245" i="1" s="1"/>
  <c r="S1245" i="1" s="1"/>
  <c r="O1244" i="1"/>
  <c r="P1244" i="1" s="1"/>
  <c r="Q1244" i="1" s="1"/>
  <c r="S1244" i="1" s="1"/>
  <c r="J1244" i="1" s="1"/>
  <c r="Y1244" i="1" s="1"/>
  <c r="O1243" i="1"/>
  <c r="P1243" i="1" s="1"/>
  <c r="Q1243" i="1" s="1"/>
  <c r="S1243" i="1" s="1"/>
  <c r="O1242" i="1"/>
  <c r="P1242" i="1" s="1"/>
  <c r="Q1242" i="1" s="1"/>
  <c r="S1242" i="1" s="1"/>
  <c r="J1242" i="1" s="1"/>
  <c r="Y1242" i="1" s="1"/>
  <c r="O1241" i="1"/>
  <c r="P1241" i="1" s="1"/>
  <c r="Q1241" i="1" s="1"/>
  <c r="S1241" i="1" s="1"/>
  <c r="O1240" i="1"/>
  <c r="P1240" i="1" s="1"/>
  <c r="Q1240" i="1" s="1"/>
  <c r="S1240" i="1" s="1"/>
  <c r="J1240" i="1" s="1"/>
  <c r="O1239" i="1"/>
  <c r="P1239" i="1" s="1"/>
  <c r="Q1239" i="1" s="1"/>
  <c r="S1239" i="1" s="1"/>
  <c r="J1239" i="1" s="1"/>
  <c r="O1238" i="1"/>
  <c r="P1238" i="1" s="1"/>
  <c r="Q1238" i="1" s="1"/>
  <c r="S1238" i="1" s="1"/>
  <c r="J1238" i="1" s="1"/>
  <c r="O1237" i="1"/>
  <c r="P1237" i="1" s="1"/>
  <c r="Q1237" i="1" s="1"/>
  <c r="S1237" i="1" s="1"/>
  <c r="J1237" i="1" s="1"/>
  <c r="I1237" i="1"/>
  <c r="G1237" i="1"/>
  <c r="O1236" i="1"/>
  <c r="P1236" i="1" s="1"/>
  <c r="Q1236" i="1" s="1"/>
  <c r="S1236" i="1" s="1"/>
  <c r="J1236" i="1" s="1"/>
  <c r="I1236" i="1"/>
  <c r="G1236" i="1"/>
  <c r="O1235" i="1"/>
  <c r="P1235" i="1" s="1"/>
  <c r="Q1235" i="1" s="1"/>
  <c r="S1235" i="1" s="1"/>
  <c r="J1235" i="1" s="1"/>
  <c r="I1235" i="1"/>
  <c r="G1235" i="1"/>
  <c r="O1234" i="1"/>
  <c r="P1234" i="1" s="1"/>
  <c r="Q1234" i="1" s="1"/>
  <c r="S1234" i="1" s="1"/>
  <c r="J1234" i="1" s="1"/>
  <c r="I1234" i="1"/>
  <c r="G1234" i="1"/>
  <c r="O1233" i="1"/>
  <c r="P1233" i="1" s="1"/>
  <c r="Q1233" i="1" s="1"/>
  <c r="S1233" i="1" s="1"/>
  <c r="J1233" i="1" s="1"/>
  <c r="O1232" i="1"/>
  <c r="P1232" i="1" s="1"/>
  <c r="Q1232" i="1" s="1"/>
  <c r="S1232" i="1" s="1"/>
  <c r="J1232" i="1" s="1"/>
  <c r="O1231" i="1"/>
  <c r="P1231" i="1" s="1"/>
  <c r="Q1231" i="1" s="1"/>
  <c r="S1231" i="1" s="1"/>
  <c r="J1231" i="1" s="1"/>
  <c r="O1230" i="1"/>
  <c r="P1230" i="1" s="1"/>
  <c r="Q1230" i="1" s="1"/>
  <c r="S1230" i="1" s="1"/>
  <c r="J1230" i="1" s="1"/>
  <c r="O1229" i="1"/>
  <c r="P1229" i="1" s="1"/>
  <c r="Q1229" i="1" s="1"/>
  <c r="S1229" i="1" s="1"/>
  <c r="J1229" i="1" s="1"/>
  <c r="O1228" i="1"/>
  <c r="P1228" i="1" s="1"/>
  <c r="Q1228" i="1" s="1"/>
  <c r="S1228" i="1" s="1"/>
  <c r="J1228" i="1" s="1"/>
  <c r="O1227" i="1"/>
  <c r="P1227" i="1" s="1"/>
  <c r="Q1227" i="1" s="1"/>
  <c r="S1227" i="1" s="1"/>
  <c r="J1227" i="1" s="1"/>
  <c r="O1226" i="1"/>
  <c r="P1226" i="1" s="1"/>
  <c r="Q1226" i="1" s="1"/>
  <c r="S1226" i="1" s="1"/>
  <c r="J1226" i="1" s="1"/>
  <c r="O1225" i="1"/>
  <c r="P1225" i="1" s="1"/>
  <c r="Q1225" i="1" s="1"/>
  <c r="S1225" i="1" s="1"/>
  <c r="J1225" i="1" s="1"/>
  <c r="O1224" i="1"/>
  <c r="P1224" i="1" s="1"/>
  <c r="Q1224" i="1" s="1"/>
  <c r="S1224" i="1" s="1"/>
  <c r="J1224" i="1" s="1"/>
  <c r="O1223" i="1"/>
  <c r="P1223" i="1" s="1"/>
  <c r="Q1223" i="1" s="1"/>
  <c r="S1223" i="1" s="1"/>
  <c r="J1223" i="1" s="1"/>
  <c r="O1222" i="1"/>
  <c r="P1222" i="1" s="1"/>
  <c r="Q1222" i="1" s="1"/>
  <c r="S1222" i="1" s="1"/>
  <c r="J1222" i="1" s="1"/>
  <c r="O1221" i="1"/>
  <c r="P1221" i="1" s="1"/>
  <c r="Q1221" i="1" s="1"/>
  <c r="S1221" i="1" s="1"/>
  <c r="J1221" i="1" s="1"/>
  <c r="I1221" i="1"/>
  <c r="O1220" i="1"/>
  <c r="P1220" i="1" s="1"/>
  <c r="Q1220" i="1" s="1"/>
  <c r="S1220" i="1" s="1"/>
  <c r="J1220" i="1" s="1"/>
  <c r="O1219" i="1"/>
  <c r="P1219" i="1" s="1"/>
  <c r="Q1219" i="1" s="1"/>
  <c r="S1219" i="1" s="1"/>
  <c r="J1219" i="1" s="1"/>
  <c r="O1218" i="1"/>
  <c r="P1218" i="1" s="1"/>
  <c r="Q1218" i="1" s="1"/>
  <c r="S1218" i="1" s="1"/>
  <c r="J1218" i="1" s="1"/>
  <c r="O1217" i="1"/>
  <c r="P1217" i="1" s="1"/>
  <c r="Q1217" i="1" s="1"/>
  <c r="S1217" i="1" s="1"/>
  <c r="J1217" i="1" s="1"/>
  <c r="O1216" i="1"/>
  <c r="P1216" i="1" s="1"/>
  <c r="Q1216" i="1" s="1"/>
  <c r="S1216" i="1" s="1"/>
  <c r="J1216" i="1" s="1"/>
  <c r="O1215" i="1"/>
  <c r="P1215" i="1" s="1"/>
  <c r="Q1215" i="1" s="1"/>
  <c r="S1215" i="1" s="1"/>
  <c r="J1215" i="1" s="1"/>
  <c r="O1214" i="1"/>
  <c r="P1214" i="1" s="1"/>
  <c r="Q1214" i="1" s="1"/>
  <c r="S1214" i="1" s="1"/>
  <c r="J1214" i="1" s="1"/>
  <c r="O1213" i="1"/>
  <c r="P1213" i="1" s="1"/>
  <c r="Q1213" i="1" s="1"/>
  <c r="S1213" i="1" s="1"/>
  <c r="J1213" i="1" s="1"/>
  <c r="O1212" i="1"/>
  <c r="P1212" i="1" s="1"/>
  <c r="Q1212" i="1" s="1"/>
  <c r="S1212" i="1" s="1"/>
  <c r="J1212" i="1" s="1"/>
  <c r="O1211" i="1"/>
  <c r="P1211" i="1" s="1"/>
  <c r="Q1211" i="1" s="1"/>
  <c r="S1211" i="1" s="1"/>
  <c r="J1211" i="1" s="1"/>
  <c r="O1210" i="1"/>
  <c r="P1210" i="1" s="1"/>
  <c r="Q1210" i="1" s="1"/>
  <c r="S1210" i="1" s="1"/>
  <c r="J1210" i="1" s="1"/>
  <c r="O1209" i="1"/>
  <c r="P1209" i="1" s="1"/>
  <c r="Q1209" i="1" s="1"/>
  <c r="S1209" i="1" s="1"/>
  <c r="J1209" i="1" s="1"/>
  <c r="O1208" i="1"/>
  <c r="P1208" i="1" s="1"/>
  <c r="Q1208" i="1" s="1"/>
  <c r="S1208" i="1" s="1"/>
  <c r="J1208" i="1" s="1"/>
  <c r="O1207" i="1"/>
  <c r="P1207" i="1" s="1"/>
  <c r="Q1207" i="1" s="1"/>
  <c r="S1207" i="1" s="1"/>
  <c r="J1207" i="1" s="1"/>
  <c r="O1206" i="1"/>
  <c r="P1206" i="1" s="1"/>
  <c r="Q1206" i="1" s="1"/>
  <c r="S1206" i="1" s="1"/>
  <c r="J1206" i="1" s="1"/>
  <c r="O1205" i="1"/>
  <c r="P1205" i="1" s="1"/>
  <c r="Q1205" i="1" s="1"/>
  <c r="S1205" i="1" s="1"/>
  <c r="J1205" i="1" s="1"/>
  <c r="O1204" i="1"/>
  <c r="P1204" i="1" s="1"/>
  <c r="Q1204" i="1" s="1"/>
  <c r="S1204" i="1" s="1"/>
  <c r="J1204" i="1" s="1"/>
  <c r="O1203" i="1"/>
  <c r="P1203" i="1" s="1"/>
  <c r="Q1203" i="1" s="1"/>
  <c r="S1203" i="1" s="1"/>
  <c r="J1203" i="1" s="1"/>
  <c r="O1202" i="1"/>
  <c r="P1202" i="1" s="1"/>
  <c r="Q1202" i="1" s="1"/>
  <c r="S1202" i="1" s="1"/>
  <c r="J1202" i="1" s="1"/>
  <c r="O1201" i="1"/>
  <c r="P1201" i="1" s="1"/>
  <c r="Q1201" i="1" s="1"/>
  <c r="S1201" i="1" s="1"/>
  <c r="J1201" i="1" s="1"/>
  <c r="O1200" i="1"/>
  <c r="P1200" i="1" s="1"/>
  <c r="Q1200" i="1" s="1"/>
  <c r="S1200" i="1" s="1"/>
  <c r="J1200" i="1" s="1"/>
  <c r="O1199" i="1"/>
  <c r="P1199" i="1" s="1"/>
  <c r="Q1199" i="1" s="1"/>
  <c r="S1199" i="1" s="1"/>
  <c r="J1199" i="1" s="1"/>
  <c r="O1198" i="1"/>
  <c r="P1198" i="1" s="1"/>
  <c r="Q1198" i="1" s="1"/>
  <c r="S1198" i="1" s="1"/>
  <c r="J1198" i="1" s="1"/>
  <c r="O1197" i="1"/>
  <c r="P1197" i="1" s="1"/>
  <c r="Q1197" i="1" s="1"/>
  <c r="S1197" i="1" s="1"/>
  <c r="J1197" i="1" s="1"/>
  <c r="I1197" i="1"/>
  <c r="O1196" i="1"/>
  <c r="P1196" i="1" s="1"/>
  <c r="Q1196" i="1" s="1"/>
  <c r="S1196" i="1" s="1"/>
  <c r="J1196" i="1" s="1"/>
  <c r="O1195" i="1"/>
  <c r="P1195" i="1" s="1"/>
  <c r="Q1195" i="1" s="1"/>
  <c r="S1195" i="1" s="1"/>
  <c r="J1195" i="1" s="1"/>
  <c r="O1194" i="1"/>
  <c r="P1194" i="1" s="1"/>
  <c r="Q1194" i="1" s="1"/>
  <c r="S1194" i="1" s="1"/>
  <c r="J1194" i="1" s="1"/>
  <c r="O1193" i="1"/>
  <c r="P1193" i="1" s="1"/>
  <c r="Q1193" i="1" s="1"/>
  <c r="S1193" i="1" s="1"/>
  <c r="J1193" i="1" s="1"/>
  <c r="O1192" i="1"/>
  <c r="P1192" i="1" s="1"/>
  <c r="Q1192" i="1" s="1"/>
  <c r="S1192" i="1" s="1"/>
  <c r="J1192" i="1" s="1"/>
  <c r="O1191" i="1"/>
  <c r="P1191" i="1" s="1"/>
  <c r="Q1191" i="1" s="1"/>
  <c r="S1191" i="1" s="1"/>
  <c r="J1191" i="1" s="1"/>
  <c r="O1190" i="1"/>
  <c r="P1190" i="1" s="1"/>
  <c r="Q1190" i="1" s="1"/>
  <c r="S1190" i="1" s="1"/>
  <c r="J1190" i="1" s="1"/>
  <c r="O1189" i="1"/>
  <c r="P1189" i="1" s="1"/>
  <c r="Q1189" i="1" s="1"/>
  <c r="S1189" i="1" s="1"/>
  <c r="J1189" i="1" s="1"/>
  <c r="O1188" i="1"/>
  <c r="P1188" i="1" s="1"/>
  <c r="Q1188" i="1" s="1"/>
  <c r="S1188" i="1" s="1"/>
  <c r="J1188" i="1" s="1"/>
  <c r="O1187" i="1"/>
  <c r="P1187" i="1" s="1"/>
  <c r="Q1187" i="1" s="1"/>
  <c r="S1187" i="1" s="1"/>
  <c r="J1187" i="1" s="1"/>
  <c r="O1186" i="1"/>
  <c r="P1186" i="1" s="1"/>
  <c r="Q1186" i="1" s="1"/>
  <c r="S1186" i="1" s="1"/>
  <c r="J1186" i="1" s="1"/>
  <c r="O1185" i="1"/>
  <c r="P1185" i="1" s="1"/>
  <c r="Q1185" i="1" s="1"/>
  <c r="S1185" i="1" s="1"/>
  <c r="J1185" i="1" s="1"/>
  <c r="O1184" i="1"/>
  <c r="P1184" i="1" s="1"/>
  <c r="Q1184" i="1" s="1"/>
  <c r="S1184" i="1" s="1"/>
  <c r="J1184" i="1" s="1"/>
  <c r="O1183" i="1"/>
  <c r="P1183" i="1" s="1"/>
  <c r="Q1183" i="1" s="1"/>
  <c r="S1183" i="1" s="1"/>
  <c r="J1183" i="1" s="1"/>
  <c r="O1182" i="1"/>
  <c r="P1182" i="1" s="1"/>
  <c r="Q1182" i="1" s="1"/>
  <c r="S1182" i="1" s="1"/>
  <c r="J1182" i="1" s="1"/>
  <c r="O1181" i="1"/>
  <c r="P1181" i="1" s="1"/>
  <c r="Q1181" i="1" s="1"/>
  <c r="S1181" i="1" s="1"/>
  <c r="J1181" i="1" s="1"/>
  <c r="O1180" i="1"/>
  <c r="P1180" i="1" s="1"/>
  <c r="Q1180" i="1" s="1"/>
  <c r="S1180" i="1" s="1"/>
  <c r="J1180" i="1" s="1"/>
  <c r="O1179" i="1"/>
  <c r="P1179" i="1" s="1"/>
  <c r="Q1179" i="1" s="1"/>
  <c r="S1179" i="1" s="1"/>
  <c r="J1179" i="1" s="1"/>
  <c r="O1178" i="1"/>
  <c r="P1178" i="1" s="1"/>
  <c r="Q1178" i="1" s="1"/>
  <c r="S1178" i="1" s="1"/>
  <c r="J1178" i="1" s="1"/>
  <c r="I1178" i="1"/>
  <c r="G1178" i="1"/>
  <c r="O1177" i="1"/>
  <c r="P1177" i="1" s="1"/>
  <c r="Q1177" i="1" s="1"/>
  <c r="S1177" i="1" s="1"/>
  <c r="J1177" i="1" s="1"/>
  <c r="I1177" i="1"/>
  <c r="G1177" i="1"/>
  <c r="O1176" i="1"/>
  <c r="P1176" i="1" s="1"/>
  <c r="Q1176" i="1" s="1"/>
  <c r="S1176" i="1" s="1"/>
  <c r="J1176" i="1" s="1"/>
  <c r="I1176" i="1"/>
  <c r="G1176" i="1"/>
  <c r="O1175" i="1"/>
  <c r="P1175" i="1" s="1"/>
  <c r="Q1175" i="1" s="1"/>
  <c r="S1175" i="1" s="1"/>
  <c r="J1175" i="1" s="1"/>
  <c r="I1175" i="1"/>
  <c r="G1175" i="1"/>
  <c r="O1174" i="1"/>
  <c r="P1174" i="1" s="1"/>
  <c r="Q1174" i="1" s="1"/>
  <c r="S1174" i="1" s="1"/>
  <c r="J1174" i="1" s="1"/>
  <c r="I1174" i="1"/>
  <c r="G1174" i="1"/>
  <c r="O1173" i="1"/>
  <c r="P1173" i="1" s="1"/>
  <c r="Q1173" i="1" s="1"/>
  <c r="S1173" i="1" s="1"/>
  <c r="J1173" i="1" s="1"/>
  <c r="I1173" i="1"/>
  <c r="G1173" i="1"/>
  <c r="O1172" i="1"/>
  <c r="P1172" i="1" s="1"/>
  <c r="Q1172" i="1" s="1"/>
  <c r="S1172" i="1" s="1"/>
  <c r="J1172" i="1" s="1"/>
  <c r="I1172" i="1"/>
  <c r="G1172" i="1"/>
  <c r="O1171" i="1"/>
  <c r="P1171" i="1" s="1"/>
  <c r="Q1171" i="1" s="1"/>
  <c r="S1171" i="1" s="1"/>
  <c r="J1171" i="1" s="1"/>
  <c r="I1171" i="1"/>
  <c r="O1170" i="1"/>
  <c r="P1170" i="1" s="1"/>
  <c r="Q1170" i="1" s="1"/>
  <c r="S1170" i="1" s="1"/>
  <c r="J1170" i="1" s="1"/>
  <c r="I1170" i="1"/>
  <c r="O1169" i="1"/>
  <c r="P1169" i="1" s="1"/>
  <c r="Q1169" i="1" s="1"/>
  <c r="S1169" i="1" s="1"/>
  <c r="J1169" i="1" s="1"/>
  <c r="O1168" i="1"/>
  <c r="P1168" i="1" s="1"/>
  <c r="Q1168" i="1" s="1"/>
  <c r="S1168" i="1" s="1"/>
  <c r="J1168" i="1" s="1"/>
  <c r="P1167" i="1"/>
  <c r="Q1167" i="1" s="1"/>
  <c r="S1167" i="1" s="1"/>
  <c r="J1167" i="1" s="1"/>
  <c r="O1167" i="1"/>
  <c r="O1166" i="1"/>
  <c r="P1166" i="1" s="1"/>
  <c r="Q1166" i="1" s="1"/>
  <c r="S1166" i="1" s="1"/>
  <c r="J1166" i="1" s="1"/>
  <c r="O1165" i="1"/>
  <c r="P1165" i="1" s="1"/>
  <c r="Q1165" i="1" s="1"/>
  <c r="S1165" i="1" s="1"/>
  <c r="J1165" i="1" s="1"/>
  <c r="O1164" i="1"/>
  <c r="P1164" i="1" s="1"/>
  <c r="Q1164" i="1" s="1"/>
  <c r="S1164" i="1" s="1"/>
  <c r="J1164" i="1" s="1"/>
  <c r="I1164" i="1"/>
  <c r="O1163" i="1"/>
  <c r="P1163" i="1" s="1"/>
  <c r="Q1163" i="1" s="1"/>
  <c r="S1163" i="1" s="1"/>
  <c r="J1163" i="1" s="1"/>
  <c r="O1162" i="1"/>
  <c r="P1162" i="1" s="1"/>
  <c r="Q1162" i="1" s="1"/>
  <c r="S1162" i="1" s="1"/>
  <c r="J1162" i="1" s="1"/>
  <c r="O1161" i="1"/>
  <c r="P1161" i="1" s="1"/>
  <c r="Q1161" i="1" s="1"/>
  <c r="S1161" i="1" s="1"/>
  <c r="J1161" i="1" s="1"/>
  <c r="I1161" i="1"/>
  <c r="O1160" i="1"/>
  <c r="P1160" i="1" s="1"/>
  <c r="Q1160" i="1" s="1"/>
  <c r="S1160" i="1" s="1"/>
  <c r="J1160" i="1" s="1"/>
  <c r="O1159" i="1"/>
  <c r="P1159" i="1" s="1"/>
  <c r="Q1159" i="1" s="1"/>
  <c r="S1159" i="1" s="1"/>
  <c r="J1159" i="1" s="1"/>
  <c r="O1158" i="1"/>
  <c r="P1158" i="1" s="1"/>
  <c r="Q1158" i="1" s="1"/>
  <c r="S1158" i="1" s="1"/>
  <c r="J1158" i="1" s="1"/>
  <c r="O1157" i="1"/>
  <c r="P1157" i="1" s="1"/>
  <c r="Q1157" i="1" s="1"/>
  <c r="S1157" i="1" s="1"/>
  <c r="J1157" i="1" s="1"/>
  <c r="O1156" i="1"/>
  <c r="P1156" i="1" s="1"/>
  <c r="Q1156" i="1" s="1"/>
  <c r="S1156" i="1" s="1"/>
  <c r="J1156" i="1" s="1"/>
  <c r="O1155" i="1"/>
  <c r="P1155" i="1" s="1"/>
  <c r="Q1155" i="1" s="1"/>
  <c r="S1155" i="1" s="1"/>
  <c r="J1155" i="1" s="1"/>
  <c r="O1154" i="1"/>
  <c r="P1154" i="1" s="1"/>
  <c r="Q1154" i="1" s="1"/>
  <c r="S1154" i="1" s="1"/>
  <c r="J1154" i="1" s="1"/>
  <c r="O1153" i="1"/>
  <c r="P1153" i="1" s="1"/>
  <c r="Q1153" i="1" s="1"/>
  <c r="S1153" i="1" s="1"/>
  <c r="J1153" i="1" s="1"/>
  <c r="O1152" i="1"/>
  <c r="P1152" i="1" s="1"/>
  <c r="Q1152" i="1" s="1"/>
  <c r="S1152" i="1" s="1"/>
  <c r="J1152" i="1" s="1"/>
  <c r="O1151" i="1"/>
  <c r="P1151" i="1" s="1"/>
  <c r="Q1151" i="1" s="1"/>
  <c r="S1151" i="1" s="1"/>
  <c r="J1151" i="1" s="1"/>
  <c r="O1150" i="1"/>
  <c r="P1150" i="1" s="1"/>
  <c r="Q1150" i="1" s="1"/>
  <c r="S1150" i="1" s="1"/>
  <c r="J1150" i="1" s="1"/>
  <c r="O1149" i="1"/>
  <c r="P1149" i="1" s="1"/>
  <c r="Q1149" i="1" s="1"/>
  <c r="S1149" i="1" s="1"/>
  <c r="J1149" i="1" s="1"/>
  <c r="O1148" i="1"/>
  <c r="P1148" i="1" s="1"/>
  <c r="Q1148" i="1" s="1"/>
  <c r="S1148" i="1" s="1"/>
  <c r="J1148" i="1" s="1"/>
  <c r="O1147" i="1"/>
  <c r="P1147" i="1" s="1"/>
  <c r="Q1147" i="1" s="1"/>
  <c r="S1147" i="1" s="1"/>
  <c r="J1147" i="1" s="1"/>
  <c r="O1146" i="1"/>
  <c r="P1146" i="1" s="1"/>
  <c r="Q1146" i="1" s="1"/>
  <c r="S1146" i="1" s="1"/>
  <c r="J1146" i="1" s="1"/>
  <c r="O1145" i="1"/>
  <c r="P1145" i="1" s="1"/>
  <c r="Q1145" i="1" s="1"/>
  <c r="S1145" i="1" s="1"/>
  <c r="J1145" i="1" s="1"/>
  <c r="O1144" i="1"/>
  <c r="P1144" i="1" s="1"/>
  <c r="Q1144" i="1" s="1"/>
  <c r="S1144" i="1" s="1"/>
  <c r="J1144" i="1" s="1"/>
  <c r="O1143" i="1"/>
  <c r="P1143" i="1" s="1"/>
  <c r="Q1143" i="1" s="1"/>
  <c r="S1143" i="1" s="1"/>
  <c r="J1143" i="1" s="1"/>
  <c r="O1142" i="1"/>
  <c r="P1142" i="1" s="1"/>
  <c r="Q1142" i="1" s="1"/>
  <c r="S1142" i="1" s="1"/>
  <c r="J1142" i="1" s="1"/>
  <c r="O1141" i="1"/>
  <c r="P1141" i="1" s="1"/>
  <c r="Q1141" i="1" s="1"/>
  <c r="S1141" i="1" s="1"/>
  <c r="J1141" i="1" s="1"/>
  <c r="O1140" i="1"/>
  <c r="P1140" i="1" s="1"/>
  <c r="Q1140" i="1" s="1"/>
  <c r="S1140" i="1" s="1"/>
  <c r="J1140" i="1" s="1"/>
  <c r="O1139" i="1"/>
  <c r="P1139" i="1" s="1"/>
  <c r="Q1139" i="1" s="1"/>
  <c r="S1139" i="1" s="1"/>
  <c r="J1139" i="1" s="1"/>
  <c r="O1138" i="1"/>
  <c r="P1138" i="1" s="1"/>
  <c r="Q1138" i="1" s="1"/>
  <c r="S1138" i="1" s="1"/>
  <c r="J1138" i="1" s="1"/>
  <c r="O1137" i="1"/>
  <c r="P1137" i="1" s="1"/>
  <c r="Q1137" i="1" s="1"/>
  <c r="S1137" i="1" s="1"/>
  <c r="J1137" i="1" s="1"/>
  <c r="O1136" i="1"/>
  <c r="P1136" i="1" s="1"/>
  <c r="Q1136" i="1" s="1"/>
  <c r="S1136" i="1" s="1"/>
  <c r="J1136" i="1" s="1"/>
  <c r="O1135" i="1"/>
  <c r="P1135" i="1" s="1"/>
  <c r="Q1135" i="1" s="1"/>
  <c r="S1135" i="1" s="1"/>
  <c r="J1135" i="1" s="1"/>
  <c r="O1134" i="1"/>
  <c r="P1134" i="1" s="1"/>
  <c r="Q1134" i="1" s="1"/>
  <c r="S1134" i="1" s="1"/>
  <c r="J1134" i="1" s="1"/>
  <c r="B1134" i="1"/>
  <c r="B1135" i="1" s="1"/>
  <c r="B1136" i="1" s="1"/>
  <c r="B1137" i="1" s="1"/>
  <c r="B1138" i="1" s="1"/>
  <c r="B1139" i="1" s="1"/>
  <c r="B1140" i="1" s="1"/>
  <c r="B1141" i="1" s="1"/>
  <c r="B1142" i="1" s="1"/>
  <c r="B1143" i="1" s="1"/>
  <c r="B1144" i="1" s="1"/>
  <c r="B1145" i="1" s="1"/>
  <c r="B1146" i="1" s="1"/>
  <c r="B1147" i="1" s="1"/>
  <c r="B1148" i="1" s="1"/>
  <c r="B1149" i="1" s="1"/>
  <c r="B1150" i="1" s="1"/>
  <c r="B1151" i="1" s="1"/>
  <c r="B1152" i="1" s="1"/>
  <c r="B1153" i="1" s="1"/>
  <c r="B1154" i="1" s="1"/>
  <c r="B1155" i="1" s="1"/>
  <c r="B1156" i="1" s="1"/>
  <c r="B1157" i="1" s="1"/>
  <c r="B1158" i="1" s="1"/>
  <c r="B1159" i="1" s="1"/>
  <c r="B1160" i="1" s="1"/>
  <c r="B1161" i="1" s="1"/>
  <c r="B1162" i="1" s="1"/>
  <c r="B1163" i="1" s="1"/>
  <c r="B1164" i="1" s="1"/>
  <c r="B1165" i="1" s="1"/>
  <c r="B1166" i="1" s="1"/>
  <c r="B1167" i="1" s="1"/>
  <c r="B1168" i="1" s="1"/>
  <c r="B1169" i="1" s="1"/>
  <c r="B1170" i="1" s="1"/>
  <c r="B1171" i="1" s="1"/>
  <c r="B1172" i="1" s="1"/>
  <c r="B1173" i="1" s="1"/>
  <c r="B1174" i="1" s="1"/>
  <c r="B1175" i="1" s="1"/>
  <c r="B1176" i="1" s="1"/>
  <c r="B1177" i="1" s="1"/>
  <c r="B1178" i="1" s="1"/>
  <c r="B1179" i="1" s="1"/>
  <c r="B1180" i="1" s="1"/>
  <c r="B1181" i="1" s="1"/>
  <c r="B1182" i="1" s="1"/>
  <c r="B1183" i="1" s="1"/>
  <c r="B1184" i="1" s="1"/>
  <c r="B1185" i="1" s="1"/>
  <c r="B1186" i="1" s="1"/>
  <c r="B1187" i="1" s="1"/>
  <c r="B1188" i="1" s="1"/>
  <c r="B1189" i="1" s="1"/>
  <c r="B1190" i="1" s="1"/>
  <c r="B1191" i="1" s="1"/>
  <c r="B1193" i="1" s="1"/>
  <c r="B1194" i="1" s="1"/>
  <c r="B1195" i="1" s="1"/>
  <c r="B1196" i="1" s="1"/>
  <c r="B1197" i="1" s="1"/>
  <c r="B1198" i="1" s="1"/>
  <c r="B1199" i="1" s="1"/>
  <c r="B1200" i="1" s="1"/>
  <c r="B1201" i="1" s="1"/>
  <c r="B1202" i="1" s="1"/>
  <c r="B1203" i="1" s="1"/>
  <c r="B1204" i="1" s="1"/>
  <c r="B1205" i="1" s="1"/>
  <c r="B1206" i="1" s="1"/>
  <c r="B1207" i="1" s="1"/>
  <c r="B1208" i="1" s="1"/>
  <c r="B1209" i="1" s="1"/>
  <c r="B1211" i="1" s="1"/>
  <c r="B1212" i="1" s="1"/>
  <c r="B1213" i="1" s="1"/>
  <c r="B1214" i="1" s="1"/>
  <c r="B1215" i="1" s="1"/>
  <c r="B1216" i="1" s="1"/>
  <c r="B1217" i="1" s="1"/>
  <c r="B1218" i="1" s="1"/>
  <c r="B1219" i="1" s="1"/>
  <c r="B1220" i="1" s="1"/>
  <c r="B1221" i="1" s="1"/>
  <c r="B1222" i="1" s="1"/>
  <c r="B1223" i="1" s="1"/>
  <c r="B1224" i="1" s="1"/>
  <c r="B1225" i="1" s="1"/>
  <c r="B1228" i="1" s="1"/>
  <c r="B1229" i="1" s="1"/>
  <c r="B1230" i="1" s="1"/>
  <c r="B1231" i="1" s="1"/>
  <c r="B1232" i="1" s="1"/>
  <c r="B1233" i="1" s="1"/>
  <c r="B1234" i="1" s="1"/>
  <c r="B1235" i="1" s="1"/>
  <c r="B1236" i="1" s="1"/>
  <c r="B1237" i="1" s="1"/>
  <c r="B1238" i="1" s="1"/>
  <c r="B1239" i="1" s="1"/>
  <c r="B1240" i="1" s="1"/>
  <c r="B1241" i="1" s="1"/>
  <c r="B1242" i="1" s="1"/>
  <c r="B1243" i="1" s="1"/>
  <c r="B1244" i="1" s="1"/>
  <c r="B1245" i="1" s="1"/>
  <c r="B1246" i="1" s="1"/>
  <c r="B1248" i="1" s="1"/>
  <c r="B1249" i="1" s="1"/>
  <c r="B1250" i="1" s="1"/>
  <c r="B1251" i="1" s="1"/>
  <c r="B1252" i="1" s="1"/>
  <c r="B1253" i="1" s="1"/>
  <c r="B1254" i="1" s="1"/>
  <c r="B1255" i="1" s="1"/>
  <c r="B1256" i="1" s="1"/>
  <c r="B1257" i="1" s="1"/>
  <c r="B1258" i="1" s="1"/>
  <c r="B1259" i="1" s="1"/>
  <c r="B1260" i="1" s="1"/>
  <c r="B1261" i="1" s="1"/>
  <c r="B1262" i="1" s="1"/>
  <c r="B1263" i="1" s="1"/>
  <c r="B1264" i="1" s="1"/>
  <c r="B1265" i="1" s="1"/>
  <c r="B1266" i="1" s="1"/>
  <c r="B1267" i="1" s="1"/>
  <c r="B1268" i="1" s="1"/>
  <c r="B1269" i="1" s="1"/>
  <c r="B1270" i="1" s="1"/>
  <c r="B1271" i="1" s="1"/>
  <c r="B1272" i="1" s="1"/>
  <c r="B1273" i="1" s="1"/>
  <c r="B1274" i="1" s="1"/>
  <c r="B1275" i="1" s="1"/>
  <c r="B1276" i="1" s="1"/>
  <c r="B1277" i="1" s="1"/>
  <c r="B1278" i="1" s="1"/>
  <c r="B1279" i="1" s="1"/>
  <c r="B1280" i="1" s="1"/>
  <c r="B1281" i="1" s="1"/>
  <c r="B1282" i="1" s="1"/>
  <c r="B1283" i="1" s="1"/>
  <c r="B1284" i="1" s="1"/>
  <c r="B1285" i="1" s="1"/>
  <c r="B1286" i="1" s="1"/>
  <c r="B1287" i="1" s="1"/>
  <c r="B1288" i="1" s="1"/>
  <c r="B1289" i="1" s="1"/>
  <c r="B1290" i="1" s="1"/>
  <c r="B1291" i="1" s="1"/>
  <c r="B1292" i="1" s="1"/>
  <c r="B1293" i="1" s="1"/>
  <c r="B1294" i="1" s="1"/>
  <c r="B1295" i="1" s="1"/>
  <c r="B1296" i="1" s="1"/>
  <c r="B1297" i="1" s="1"/>
  <c r="B1298" i="1" s="1"/>
  <c r="B1299" i="1" s="1"/>
  <c r="B1300" i="1" s="1"/>
  <c r="B1301" i="1" s="1"/>
  <c r="B1302" i="1" s="1"/>
  <c r="B1303" i="1" s="1"/>
  <c r="B1304" i="1" s="1"/>
  <c r="B1305" i="1" s="1"/>
  <c r="B1306" i="1" s="1"/>
  <c r="B1307" i="1" s="1"/>
  <c r="B1308" i="1" s="1"/>
  <c r="B1309" i="1" s="1"/>
  <c r="B1310" i="1" s="1"/>
  <c r="B1311" i="1" s="1"/>
  <c r="B1312" i="1" s="1"/>
  <c r="B1313" i="1" s="1"/>
  <c r="B1314" i="1" s="1"/>
  <c r="B1315" i="1" s="1"/>
  <c r="B1316" i="1" s="1"/>
  <c r="B1317" i="1" s="1"/>
  <c r="B1318" i="1" s="1"/>
  <c r="B1319" i="1" s="1"/>
  <c r="B1320" i="1" s="1"/>
  <c r="B1321" i="1" s="1"/>
  <c r="B1322" i="1" s="1"/>
  <c r="B1323" i="1" s="1"/>
  <c r="B1324" i="1" s="1"/>
  <c r="B1325" i="1" s="1"/>
  <c r="B1326" i="1" s="1"/>
  <c r="B1327" i="1" s="1"/>
  <c r="B1328" i="1" s="1"/>
  <c r="B1329" i="1" s="1"/>
  <c r="B1330" i="1" s="1"/>
  <c r="B1331" i="1" s="1"/>
  <c r="B1332" i="1" s="1"/>
  <c r="B1333" i="1" s="1"/>
  <c r="B1334" i="1" s="1"/>
  <c r="B1335" i="1" s="1"/>
  <c r="B1336" i="1" s="1"/>
  <c r="B1337" i="1" s="1"/>
  <c r="B1338" i="1" s="1"/>
  <c r="B1339" i="1" s="1"/>
  <c r="B1340" i="1" s="1"/>
  <c r="B1341" i="1" s="1"/>
  <c r="B1342" i="1" s="1"/>
  <c r="B1343" i="1" s="1"/>
  <c r="B1344" i="1" s="1"/>
  <c r="B1345" i="1" s="1"/>
  <c r="B1346" i="1" s="1"/>
  <c r="B1347" i="1" s="1"/>
  <c r="B1348" i="1" s="1"/>
  <c r="B1349" i="1" s="1"/>
  <c r="B1350" i="1" s="1"/>
  <c r="B1351" i="1" s="1"/>
  <c r="B1352" i="1" s="1"/>
  <c r="B1353" i="1" s="1"/>
  <c r="B1356" i="1" s="1"/>
  <c r="B1357" i="1" s="1"/>
  <c r="B1358" i="1" s="1"/>
  <c r="B1359" i="1" s="1"/>
  <c r="B1360" i="1" s="1"/>
  <c r="B1361" i="1" s="1"/>
  <c r="B1362" i="1" s="1"/>
  <c r="B1363" i="1" s="1"/>
  <c r="B1364" i="1" s="1"/>
  <c r="B1365" i="1" s="1"/>
  <c r="B1366" i="1" s="1"/>
  <c r="B1367" i="1" s="1"/>
  <c r="B1368" i="1" s="1"/>
  <c r="B1369" i="1" s="1"/>
  <c r="B1370" i="1" s="1"/>
  <c r="B1371" i="1" s="1"/>
  <c r="B1372" i="1" s="1"/>
  <c r="B1373" i="1" s="1"/>
  <c r="B1374" i="1" s="1"/>
  <c r="B1375" i="1" s="1"/>
  <c r="B1376" i="1" s="1"/>
  <c r="B1377" i="1" s="1"/>
  <c r="B1378" i="1" s="1"/>
  <c r="B1379" i="1" s="1"/>
  <c r="B1380" i="1" s="1"/>
  <c r="B1381" i="1" s="1"/>
  <c r="B1382" i="1" s="1"/>
  <c r="B1383" i="1" s="1"/>
  <c r="B1384" i="1" s="1"/>
  <c r="B1385" i="1" s="1"/>
  <c r="B1386" i="1" s="1"/>
  <c r="B1388" i="1" s="1"/>
  <c r="B1389" i="1" s="1"/>
  <c r="B1390" i="1" s="1"/>
  <c r="B1391" i="1" s="1"/>
  <c r="B1392" i="1" s="1"/>
  <c r="B1393" i="1" s="1"/>
  <c r="B1394" i="1" s="1"/>
  <c r="B1395" i="1" s="1"/>
  <c r="B1396" i="1" s="1"/>
  <c r="B1397" i="1" s="1"/>
  <c r="B1398" i="1" s="1"/>
  <c r="B1399" i="1" s="1"/>
  <c r="B1400" i="1" s="1"/>
  <c r="B1401" i="1" s="1"/>
  <c r="B1402" i="1" s="1"/>
  <c r="B1403" i="1" s="1"/>
  <c r="B1404" i="1" s="1"/>
  <c r="B1405" i="1" s="1"/>
  <c r="B1406" i="1" s="1"/>
  <c r="B1407" i="1" s="1"/>
  <c r="B1408" i="1" s="1"/>
  <c r="B1409" i="1" s="1"/>
  <c r="B1410" i="1" s="1"/>
  <c r="B1411" i="1" s="1"/>
  <c r="O1133" i="1"/>
  <c r="P1133" i="1" s="1"/>
  <c r="Q1133" i="1" s="1"/>
  <c r="S1133" i="1" s="1"/>
  <c r="J1133" i="1" s="1"/>
  <c r="I1133" i="1"/>
  <c r="O1132" i="1"/>
  <c r="P1132" i="1" s="1"/>
  <c r="Q1132" i="1" s="1"/>
  <c r="S1132" i="1" s="1"/>
  <c r="J1132" i="1" s="1"/>
  <c r="I1132" i="1"/>
  <c r="O1131" i="1"/>
  <c r="P1131" i="1" s="1"/>
  <c r="Q1131" i="1" s="1"/>
  <c r="S1131" i="1" s="1"/>
  <c r="J1131" i="1" s="1"/>
  <c r="I1131" i="1"/>
  <c r="O1130" i="1"/>
  <c r="P1130" i="1" s="1"/>
  <c r="Q1130" i="1" s="1"/>
  <c r="S1130" i="1" s="1"/>
  <c r="J1130" i="1" s="1"/>
  <c r="I1130" i="1"/>
  <c r="G1130" i="1"/>
  <c r="O1129" i="1"/>
  <c r="P1129" i="1" s="1"/>
  <c r="Q1129" i="1" s="1"/>
  <c r="S1129" i="1" s="1"/>
  <c r="J1129" i="1" s="1"/>
  <c r="I1129" i="1"/>
  <c r="G1129" i="1"/>
  <c r="O1128" i="1"/>
  <c r="P1128" i="1" s="1"/>
  <c r="Q1128" i="1" s="1"/>
  <c r="S1128" i="1" s="1"/>
  <c r="J1128" i="1" s="1"/>
  <c r="I1128" i="1"/>
  <c r="G1128" i="1"/>
  <c r="O1127" i="1"/>
  <c r="P1127" i="1" s="1"/>
  <c r="Q1127" i="1" s="1"/>
  <c r="S1127" i="1" s="1"/>
  <c r="J1127" i="1" s="1"/>
  <c r="I1127" i="1"/>
  <c r="G1127" i="1"/>
  <c r="O1126" i="1"/>
  <c r="P1126" i="1" s="1"/>
  <c r="Q1126" i="1" s="1"/>
  <c r="S1126" i="1" s="1"/>
  <c r="J1126" i="1" s="1"/>
  <c r="I1126" i="1"/>
  <c r="G1126" i="1"/>
  <c r="O1125" i="1"/>
  <c r="P1125" i="1" s="1"/>
  <c r="Q1125" i="1" s="1"/>
  <c r="S1125" i="1" s="1"/>
  <c r="J1125" i="1" s="1"/>
  <c r="I1125" i="1"/>
  <c r="O1124" i="1"/>
  <c r="P1124" i="1" s="1"/>
  <c r="Q1124" i="1" s="1"/>
  <c r="S1124" i="1" s="1"/>
  <c r="J1124" i="1" s="1"/>
  <c r="I1124" i="1"/>
  <c r="G1124" i="1"/>
  <c r="O1123" i="1"/>
  <c r="P1123" i="1" s="1"/>
  <c r="Q1123" i="1" s="1"/>
  <c r="S1123" i="1" s="1"/>
  <c r="J1123" i="1" s="1"/>
  <c r="O1122" i="1"/>
  <c r="P1122" i="1" s="1"/>
  <c r="Q1122" i="1" s="1"/>
  <c r="S1122" i="1" s="1"/>
  <c r="J1122" i="1" s="1"/>
  <c r="O1121" i="1"/>
  <c r="P1121" i="1" s="1"/>
  <c r="Q1121" i="1" s="1"/>
  <c r="S1121" i="1" s="1"/>
  <c r="J1121" i="1" s="1"/>
  <c r="O1120" i="1"/>
  <c r="P1120" i="1" s="1"/>
  <c r="Q1120" i="1" s="1"/>
  <c r="S1120" i="1" s="1"/>
  <c r="J1120" i="1" s="1"/>
  <c r="O1119" i="1"/>
  <c r="P1119" i="1" s="1"/>
  <c r="Q1119" i="1" s="1"/>
  <c r="S1119" i="1" s="1"/>
  <c r="J1119" i="1" s="1"/>
  <c r="O1118" i="1"/>
  <c r="P1118" i="1" s="1"/>
  <c r="Q1118" i="1" s="1"/>
  <c r="S1118" i="1" s="1"/>
  <c r="J1118" i="1" s="1"/>
  <c r="O1117" i="1"/>
  <c r="P1117" i="1" s="1"/>
  <c r="Q1117" i="1" s="1"/>
  <c r="S1117" i="1" s="1"/>
  <c r="J1117" i="1" s="1"/>
  <c r="O1116" i="1"/>
  <c r="P1116" i="1" s="1"/>
  <c r="Q1116" i="1" s="1"/>
  <c r="S1116" i="1" s="1"/>
  <c r="J1116" i="1" s="1"/>
  <c r="O1115" i="1"/>
  <c r="P1115" i="1" s="1"/>
  <c r="Q1115" i="1" s="1"/>
  <c r="S1115" i="1" s="1"/>
  <c r="J1115" i="1" s="1"/>
  <c r="O1114" i="1"/>
  <c r="P1114" i="1" s="1"/>
  <c r="Q1114" i="1" s="1"/>
  <c r="S1114" i="1" s="1"/>
  <c r="J1114" i="1" s="1"/>
  <c r="O1113" i="1"/>
  <c r="P1113" i="1" s="1"/>
  <c r="Q1113" i="1" s="1"/>
  <c r="S1113" i="1" s="1"/>
  <c r="J1113" i="1" s="1"/>
  <c r="O1112" i="1"/>
  <c r="P1112" i="1" s="1"/>
  <c r="Q1112" i="1" s="1"/>
  <c r="S1112" i="1" s="1"/>
  <c r="J1112" i="1" s="1"/>
  <c r="O1111" i="1"/>
  <c r="P1111" i="1" s="1"/>
  <c r="Q1111" i="1" s="1"/>
  <c r="S1111" i="1" s="1"/>
  <c r="J1111" i="1" s="1"/>
  <c r="O1110" i="1"/>
  <c r="P1110" i="1" s="1"/>
  <c r="Q1110" i="1" s="1"/>
  <c r="S1110" i="1" s="1"/>
  <c r="J1110" i="1" s="1"/>
  <c r="O1109" i="1"/>
  <c r="P1109" i="1" s="1"/>
  <c r="Q1109" i="1" s="1"/>
  <c r="S1109" i="1" s="1"/>
  <c r="J1109" i="1" s="1"/>
  <c r="O1108" i="1"/>
  <c r="P1108" i="1" s="1"/>
  <c r="Q1108" i="1" s="1"/>
  <c r="S1108" i="1" s="1"/>
  <c r="J1108" i="1" s="1"/>
  <c r="O1107" i="1"/>
  <c r="P1107" i="1" s="1"/>
  <c r="Q1107" i="1" s="1"/>
  <c r="S1107" i="1" s="1"/>
  <c r="J1107" i="1" s="1"/>
  <c r="O1106" i="1"/>
  <c r="P1106" i="1" s="1"/>
  <c r="Q1106" i="1" s="1"/>
  <c r="S1106" i="1" s="1"/>
  <c r="J1106" i="1" s="1"/>
  <c r="O1105" i="1"/>
  <c r="P1105" i="1" s="1"/>
  <c r="Q1105" i="1" s="1"/>
  <c r="S1105" i="1" s="1"/>
  <c r="J1105" i="1" s="1"/>
  <c r="O1104" i="1"/>
  <c r="P1104" i="1" s="1"/>
  <c r="Q1104" i="1" s="1"/>
  <c r="S1104" i="1" s="1"/>
  <c r="J1104" i="1" s="1"/>
  <c r="O1103" i="1"/>
  <c r="P1103" i="1" s="1"/>
  <c r="Q1103" i="1" s="1"/>
  <c r="S1103" i="1" s="1"/>
  <c r="J1103" i="1" s="1"/>
  <c r="O1102" i="1"/>
  <c r="P1102" i="1" s="1"/>
  <c r="Q1102" i="1" s="1"/>
  <c r="S1102" i="1" s="1"/>
  <c r="J1102" i="1" s="1"/>
  <c r="O1101" i="1"/>
  <c r="P1101" i="1" s="1"/>
  <c r="Q1101" i="1" s="1"/>
  <c r="S1101" i="1" s="1"/>
  <c r="J1101" i="1" s="1"/>
  <c r="O1100" i="1"/>
  <c r="P1100" i="1" s="1"/>
  <c r="Q1100" i="1" s="1"/>
  <c r="S1100" i="1" s="1"/>
  <c r="J1100" i="1" s="1"/>
  <c r="O1099" i="1"/>
  <c r="P1099" i="1" s="1"/>
  <c r="Q1099" i="1" s="1"/>
  <c r="S1099" i="1" s="1"/>
  <c r="J1099" i="1" s="1"/>
  <c r="O1098" i="1"/>
  <c r="P1098" i="1" s="1"/>
  <c r="Q1098" i="1" s="1"/>
  <c r="S1098" i="1" s="1"/>
  <c r="J1098" i="1" s="1"/>
  <c r="O1097" i="1"/>
  <c r="P1097" i="1" s="1"/>
  <c r="Q1097" i="1" s="1"/>
  <c r="S1097" i="1" s="1"/>
  <c r="J1097" i="1" s="1"/>
  <c r="O1096" i="1"/>
  <c r="P1096" i="1" s="1"/>
  <c r="Q1096" i="1" s="1"/>
  <c r="S1096" i="1" s="1"/>
  <c r="J1096" i="1" s="1"/>
  <c r="P1095" i="1"/>
  <c r="Q1095" i="1" s="1"/>
  <c r="S1095" i="1" s="1"/>
  <c r="J1095" i="1" s="1"/>
  <c r="O1095" i="1"/>
  <c r="O1094" i="1"/>
  <c r="P1094" i="1" s="1"/>
  <c r="Q1094" i="1" s="1"/>
  <c r="S1094" i="1" s="1"/>
  <c r="J1094" i="1" s="1"/>
  <c r="I1094" i="1"/>
  <c r="O1093" i="1"/>
  <c r="P1093" i="1" s="1"/>
  <c r="Q1093" i="1" s="1"/>
  <c r="S1093" i="1" s="1"/>
  <c r="J1093" i="1" s="1"/>
  <c r="I1093" i="1"/>
  <c r="O1092" i="1"/>
  <c r="P1092" i="1" s="1"/>
  <c r="Q1092" i="1" s="1"/>
  <c r="S1092" i="1" s="1"/>
  <c r="J1092" i="1" s="1"/>
  <c r="I1092" i="1"/>
  <c r="O1091" i="1"/>
  <c r="P1091" i="1" s="1"/>
  <c r="Q1091" i="1" s="1"/>
  <c r="S1091" i="1" s="1"/>
  <c r="J1091" i="1" s="1"/>
  <c r="I1091" i="1"/>
  <c r="O1090" i="1"/>
  <c r="P1090" i="1" s="1"/>
  <c r="Q1090" i="1" s="1"/>
  <c r="S1090" i="1" s="1"/>
  <c r="J1090" i="1" s="1"/>
  <c r="I1090" i="1"/>
  <c r="O1089" i="1"/>
  <c r="P1089" i="1" s="1"/>
  <c r="Q1089" i="1" s="1"/>
  <c r="S1089" i="1" s="1"/>
  <c r="J1089" i="1" s="1"/>
  <c r="I1089" i="1"/>
  <c r="O1088" i="1"/>
  <c r="P1088" i="1" s="1"/>
  <c r="Q1088" i="1" s="1"/>
  <c r="S1088" i="1" s="1"/>
  <c r="J1088" i="1" s="1"/>
  <c r="I1088" i="1"/>
  <c r="O1087" i="1"/>
  <c r="P1087" i="1" s="1"/>
  <c r="Q1087" i="1" s="1"/>
  <c r="S1087" i="1" s="1"/>
  <c r="J1087" i="1" s="1"/>
  <c r="I1087" i="1"/>
  <c r="G1087" i="1"/>
  <c r="O1086" i="1"/>
  <c r="P1086" i="1" s="1"/>
  <c r="Q1086" i="1" s="1"/>
  <c r="S1086" i="1" s="1"/>
  <c r="J1086" i="1" s="1"/>
  <c r="I1086" i="1"/>
  <c r="G1086" i="1"/>
  <c r="O1085" i="1"/>
  <c r="P1085" i="1" s="1"/>
  <c r="Q1085" i="1" s="1"/>
  <c r="S1085" i="1" s="1"/>
  <c r="J1085" i="1" s="1"/>
  <c r="I1085" i="1"/>
  <c r="G1085" i="1"/>
  <c r="O1084" i="1"/>
  <c r="P1084" i="1" s="1"/>
  <c r="Q1084" i="1" s="1"/>
  <c r="S1084" i="1" s="1"/>
  <c r="J1084" i="1" s="1"/>
  <c r="I1084" i="1"/>
  <c r="G1084" i="1"/>
  <c r="O1083" i="1"/>
  <c r="P1083" i="1" s="1"/>
  <c r="Q1083" i="1" s="1"/>
  <c r="S1083" i="1" s="1"/>
  <c r="J1083" i="1" s="1"/>
  <c r="I1083" i="1"/>
  <c r="G1083" i="1"/>
  <c r="O1082" i="1"/>
  <c r="P1082" i="1" s="1"/>
  <c r="Q1082" i="1" s="1"/>
  <c r="S1082" i="1" s="1"/>
  <c r="J1082" i="1" s="1"/>
  <c r="I1082" i="1"/>
  <c r="G1082" i="1"/>
  <c r="O1081" i="1"/>
  <c r="P1081" i="1" s="1"/>
  <c r="Q1081" i="1" s="1"/>
  <c r="S1081" i="1" s="1"/>
  <c r="J1081" i="1" s="1"/>
  <c r="O1080" i="1"/>
  <c r="P1080" i="1" s="1"/>
  <c r="Q1080" i="1" s="1"/>
  <c r="S1080" i="1" s="1"/>
  <c r="J1080" i="1" s="1"/>
  <c r="I1080" i="1"/>
  <c r="O1079" i="1"/>
  <c r="P1079" i="1" s="1"/>
  <c r="Q1079" i="1" s="1"/>
  <c r="S1079" i="1" s="1"/>
  <c r="J1079" i="1" s="1"/>
  <c r="I1079" i="1"/>
  <c r="G1079" i="1"/>
  <c r="O1078" i="1"/>
  <c r="P1078" i="1" s="1"/>
  <c r="Q1078" i="1" s="1"/>
  <c r="S1078" i="1" s="1"/>
  <c r="J1078" i="1" s="1"/>
  <c r="I1078" i="1"/>
  <c r="G1078" i="1"/>
  <c r="O1077" i="1"/>
  <c r="P1077" i="1" s="1"/>
  <c r="Q1077" i="1" s="1"/>
  <c r="S1077" i="1" s="1"/>
  <c r="J1077" i="1" s="1"/>
  <c r="I1077" i="1"/>
  <c r="G1077" i="1"/>
  <c r="O1076" i="1"/>
  <c r="P1076" i="1" s="1"/>
  <c r="Q1076" i="1" s="1"/>
  <c r="S1076" i="1" s="1"/>
  <c r="J1076" i="1" s="1"/>
  <c r="I1076" i="1"/>
  <c r="G1076" i="1"/>
  <c r="O1075" i="1"/>
  <c r="P1075" i="1" s="1"/>
  <c r="Q1075" i="1" s="1"/>
  <c r="S1075" i="1" s="1"/>
  <c r="J1075" i="1" s="1"/>
  <c r="I1075" i="1"/>
  <c r="G1075" i="1"/>
  <c r="O1074" i="1"/>
  <c r="P1074" i="1" s="1"/>
  <c r="Q1074" i="1" s="1"/>
  <c r="S1074" i="1" s="1"/>
  <c r="J1074" i="1" s="1"/>
  <c r="I1074" i="1"/>
  <c r="G1074" i="1"/>
  <c r="O1073" i="1"/>
  <c r="P1073" i="1" s="1"/>
  <c r="Q1073" i="1" s="1"/>
  <c r="S1073" i="1" s="1"/>
  <c r="J1073" i="1" s="1"/>
  <c r="I1073" i="1"/>
  <c r="G1073" i="1"/>
  <c r="O1072" i="1"/>
  <c r="P1072" i="1" s="1"/>
  <c r="Q1072" i="1" s="1"/>
  <c r="S1072" i="1" s="1"/>
  <c r="J1072" i="1" s="1"/>
  <c r="I1072" i="1"/>
  <c r="G1072" i="1"/>
  <c r="O1071" i="1"/>
  <c r="P1071" i="1" s="1"/>
  <c r="Q1071" i="1" s="1"/>
  <c r="S1071" i="1" s="1"/>
  <c r="J1071" i="1" s="1"/>
  <c r="I1071" i="1"/>
  <c r="G1071" i="1"/>
  <c r="O1070" i="1"/>
  <c r="P1070" i="1" s="1"/>
  <c r="Q1070" i="1" s="1"/>
  <c r="S1070" i="1" s="1"/>
  <c r="J1070" i="1" s="1"/>
  <c r="O1069" i="1"/>
  <c r="P1069" i="1" s="1"/>
  <c r="Q1069" i="1" s="1"/>
  <c r="S1069" i="1" s="1"/>
  <c r="J1069" i="1" s="1"/>
  <c r="I1069" i="1"/>
  <c r="G1069" i="1"/>
  <c r="O1068" i="1"/>
  <c r="P1068" i="1" s="1"/>
  <c r="Q1068" i="1" s="1"/>
  <c r="S1068" i="1" s="1"/>
  <c r="J1068" i="1" s="1"/>
  <c r="I1068" i="1"/>
  <c r="G1068" i="1"/>
  <c r="O1067" i="1"/>
  <c r="P1067" i="1" s="1"/>
  <c r="Q1067" i="1" s="1"/>
  <c r="S1067" i="1" s="1"/>
  <c r="J1067" i="1" s="1"/>
  <c r="I1067" i="1"/>
  <c r="G1067" i="1"/>
  <c r="O1066" i="1"/>
  <c r="P1066" i="1" s="1"/>
  <c r="Q1066" i="1" s="1"/>
  <c r="S1066" i="1" s="1"/>
  <c r="J1066" i="1" s="1"/>
  <c r="I1066" i="1"/>
  <c r="O1065" i="1"/>
  <c r="P1065" i="1" s="1"/>
  <c r="Q1065" i="1" s="1"/>
  <c r="S1065" i="1" s="1"/>
  <c r="J1065" i="1" s="1"/>
  <c r="I1065" i="1"/>
  <c r="O1064" i="1"/>
  <c r="P1064" i="1" s="1"/>
  <c r="Q1064" i="1" s="1"/>
  <c r="S1064" i="1" s="1"/>
  <c r="J1064" i="1" s="1"/>
  <c r="I1064" i="1"/>
  <c r="O1063" i="1"/>
  <c r="P1063" i="1" s="1"/>
  <c r="Q1063" i="1" s="1"/>
  <c r="S1063" i="1" s="1"/>
  <c r="J1063" i="1" s="1"/>
  <c r="I1063" i="1"/>
  <c r="G1063" i="1"/>
  <c r="O1062" i="1"/>
  <c r="P1062" i="1" s="1"/>
  <c r="Q1062" i="1" s="1"/>
  <c r="S1062" i="1" s="1"/>
  <c r="J1062" i="1" s="1"/>
  <c r="O1061" i="1"/>
  <c r="P1061" i="1" s="1"/>
  <c r="Q1061" i="1" s="1"/>
  <c r="S1061" i="1" s="1"/>
  <c r="J1061" i="1" s="1"/>
  <c r="I1061" i="1"/>
  <c r="G1061" i="1"/>
  <c r="O1060" i="1"/>
  <c r="P1060" i="1" s="1"/>
  <c r="Q1060" i="1" s="1"/>
  <c r="S1060" i="1" s="1"/>
  <c r="J1060" i="1" s="1"/>
  <c r="O1059" i="1"/>
  <c r="P1059" i="1" s="1"/>
  <c r="Q1059" i="1" s="1"/>
  <c r="S1059" i="1" s="1"/>
  <c r="J1059" i="1" s="1"/>
  <c r="O1058" i="1"/>
  <c r="P1058" i="1" s="1"/>
  <c r="Q1058" i="1" s="1"/>
  <c r="S1058" i="1" s="1"/>
  <c r="J1058" i="1" s="1"/>
  <c r="O1057" i="1"/>
  <c r="P1057" i="1" s="1"/>
  <c r="Q1057" i="1" s="1"/>
  <c r="S1057" i="1" s="1"/>
  <c r="J1057" i="1" s="1"/>
  <c r="O1056" i="1"/>
  <c r="P1056" i="1" s="1"/>
  <c r="Q1056" i="1" s="1"/>
  <c r="S1056" i="1" s="1"/>
  <c r="J1056" i="1" s="1"/>
  <c r="O1055" i="1"/>
  <c r="P1055" i="1" s="1"/>
  <c r="Q1055" i="1" s="1"/>
  <c r="S1055" i="1" s="1"/>
  <c r="J1055" i="1" s="1"/>
  <c r="O1054" i="1"/>
  <c r="P1054" i="1" s="1"/>
  <c r="Q1054" i="1" s="1"/>
  <c r="S1054" i="1" s="1"/>
  <c r="J1054" i="1" s="1"/>
  <c r="O1053" i="1"/>
  <c r="P1053" i="1" s="1"/>
  <c r="Q1053" i="1" s="1"/>
  <c r="S1053" i="1" s="1"/>
  <c r="J1053" i="1" s="1"/>
  <c r="O1052" i="1"/>
  <c r="P1052" i="1" s="1"/>
  <c r="Q1052" i="1" s="1"/>
  <c r="S1052" i="1" s="1"/>
  <c r="J1052" i="1" s="1"/>
  <c r="O1051" i="1"/>
  <c r="P1051" i="1" s="1"/>
  <c r="Q1051" i="1" s="1"/>
  <c r="S1051" i="1" s="1"/>
  <c r="J1051" i="1" s="1"/>
  <c r="O1050" i="1"/>
  <c r="P1050" i="1" s="1"/>
  <c r="Q1050" i="1" s="1"/>
  <c r="S1050" i="1" s="1"/>
  <c r="J1050" i="1" s="1"/>
  <c r="O1049" i="1"/>
  <c r="P1049" i="1" s="1"/>
  <c r="Q1049" i="1" s="1"/>
  <c r="S1049" i="1" s="1"/>
  <c r="J1049" i="1" s="1"/>
  <c r="O1048" i="1"/>
  <c r="P1048" i="1" s="1"/>
  <c r="Q1048" i="1" s="1"/>
  <c r="S1048" i="1" s="1"/>
  <c r="J1048" i="1" s="1"/>
  <c r="O1047" i="1"/>
  <c r="P1047" i="1" s="1"/>
  <c r="Q1047" i="1" s="1"/>
  <c r="S1047" i="1" s="1"/>
  <c r="J1047" i="1" s="1"/>
  <c r="O1046" i="1"/>
  <c r="P1046" i="1" s="1"/>
  <c r="Q1046" i="1" s="1"/>
  <c r="S1046" i="1" s="1"/>
  <c r="J1046" i="1" s="1"/>
  <c r="O1045" i="1"/>
  <c r="P1045" i="1" s="1"/>
  <c r="Q1045" i="1" s="1"/>
  <c r="S1045" i="1" s="1"/>
  <c r="J1045" i="1" s="1"/>
  <c r="O1044" i="1"/>
  <c r="P1044" i="1" s="1"/>
  <c r="Q1044" i="1" s="1"/>
  <c r="S1044" i="1" s="1"/>
  <c r="J1044" i="1" s="1"/>
  <c r="O1043" i="1"/>
  <c r="P1043" i="1" s="1"/>
  <c r="Q1043" i="1" s="1"/>
  <c r="S1043" i="1" s="1"/>
  <c r="J1043" i="1" s="1"/>
  <c r="I1043" i="1"/>
  <c r="O1042" i="1"/>
  <c r="P1042" i="1" s="1"/>
  <c r="Q1042" i="1" s="1"/>
  <c r="S1042" i="1" s="1"/>
  <c r="J1042" i="1" s="1"/>
  <c r="I1042" i="1"/>
  <c r="O1041" i="1"/>
  <c r="P1041" i="1" s="1"/>
  <c r="Q1041" i="1" s="1"/>
  <c r="S1041" i="1" s="1"/>
  <c r="J1041" i="1" s="1"/>
  <c r="I1041" i="1"/>
  <c r="O1040" i="1"/>
  <c r="P1040" i="1" s="1"/>
  <c r="Q1040" i="1" s="1"/>
  <c r="S1040" i="1" s="1"/>
  <c r="J1040" i="1" s="1"/>
  <c r="I1040" i="1"/>
  <c r="O1039" i="1"/>
  <c r="P1039" i="1" s="1"/>
  <c r="Q1039" i="1" s="1"/>
  <c r="S1039" i="1" s="1"/>
  <c r="J1039" i="1" s="1"/>
  <c r="I1039" i="1"/>
  <c r="O1038" i="1"/>
  <c r="P1038" i="1" s="1"/>
  <c r="Q1038" i="1" s="1"/>
  <c r="S1038" i="1" s="1"/>
  <c r="J1038" i="1" s="1"/>
  <c r="I1038" i="1"/>
  <c r="G1038" i="1"/>
  <c r="O1037" i="1"/>
  <c r="P1037" i="1" s="1"/>
  <c r="Q1037" i="1" s="1"/>
  <c r="S1037" i="1" s="1"/>
  <c r="J1037" i="1" s="1"/>
  <c r="O1036" i="1"/>
  <c r="P1036" i="1" s="1"/>
  <c r="Q1036" i="1" s="1"/>
  <c r="S1036" i="1" s="1"/>
  <c r="J1036" i="1" s="1"/>
  <c r="O1035" i="1"/>
  <c r="P1035" i="1" s="1"/>
  <c r="Q1035" i="1" s="1"/>
  <c r="S1035" i="1" s="1"/>
  <c r="J1035" i="1" s="1"/>
  <c r="I1035" i="1"/>
  <c r="G1035" i="1"/>
  <c r="O1034" i="1"/>
  <c r="P1034" i="1" s="1"/>
  <c r="Q1034" i="1" s="1"/>
  <c r="S1034" i="1" s="1"/>
  <c r="J1034" i="1" s="1"/>
  <c r="O1033" i="1"/>
  <c r="P1033" i="1" s="1"/>
  <c r="Q1033" i="1" s="1"/>
  <c r="S1033" i="1" s="1"/>
  <c r="J1033" i="1" s="1"/>
  <c r="O1032" i="1"/>
  <c r="P1032" i="1" s="1"/>
  <c r="Q1032" i="1" s="1"/>
  <c r="S1032" i="1" s="1"/>
  <c r="J1032" i="1" s="1"/>
  <c r="O1031" i="1"/>
  <c r="P1031" i="1" s="1"/>
  <c r="Q1031" i="1" s="1"/>
  <c r="S1031" i="1" s="1"/>
  <c r="J1031" i="1" s="1"/>
  <c r="O1030" i="1"/>
  <c r="P1030" i="1" s="1"/>
  <c r="Q1030" i="1" s="1"/>
  <c r="S1030" i="1" s="1"/>
  <c r="J1030" i="1" s="1"/>
  <c r="I1030" i="1"/>
  <c r="G1030" i="1"/>
  <c r="O1029" i="1"/>
  <c r="P1029" i="1" s="1"/>
  <c r="Q1029" i="1" s="1"/>
  <c r="S1029" i="1" s="1"/>
  <c r="J1029" i="1" s="1"/>
  <c r="O1028" i="1"/>
  <c r="P1028" i="1" s="1"/>
  <c r="Q1028" i="1" s="1"/>
  <c r="S1028" i="1" s="1"/>
  <c r="J1028" i="1" s="1"/>
  <c r="O1027" i="1"/>
  <c r="P1027" i="1" s="1"/>
  <c r="Q1027" i="1" s="1"/>
  <c r="S1027" i="1" s="1"/>
  <c r="J1027" i="1" s="1"/>
  <c r="I1027" i="1"/>
  <c r="G1027" i="1"/>
  <c r="O1026" i="1"/>
  <c r="P1026" i="1" s="1"/>
  <c r="Q1026" i="1" s="1"/>
  <c r="S1026" i="1" s="1"/>
  <c r="J1026" i="1" s="1"/>
  <c r="I1026" i="1"/>
  <c r="G1026" i="1"/>
  <c r="O1025" i="1"/>
  <c r="P1025" i="1" s="1"/>
  <c r="Q1025" i="1" s="1"/>
  <c r="S1025" i="1" s="1"/>
  <c r="J1025" i="1" s="1"/>
  <c r="O1024" i="1"/>
  <c r="P1024" i="1" s="1"/>
  <c r="Q1024" i="1" s="1"/>
  <c r="S1024" i="1" s="1"/>
  <c r="J1024" i="1" s="1"/>
  <c r="I1024" i="1"/>
  <c r="G1024" i="1"/>
  <c r="O1023" i="1"/>
  <c r="P1023" i="1" s="1"/>
  <c r="Q1023" i="1" s="1"/>
  <c r="S1023" i="1" s="1"/>
  <c r="J1023" i="1" s="1"/>
  <c r="I1023" i="1"/>
  <c r="G1023" i="1"/>
  <c r="O1022" i="1"/>
  <c r="P1022" i="1" s="1"/>
  <c r="Q1022" i="1" s="1"/>
  <c r="S1022" i="1" s="1"/>
  <c r="J1022" i="1" s="1"/>
  <c r="O1021" i="1"/>
  <c r="P1021" i="1" s="1"/>
  <c r="Q1021" i="1" s="1"/>
  <c r="S1021" i="1" s="1"/>
  <c r="J1021" i="1" s="1"/>
  <c r="O1020" i="1"/>
  <c r="P1020" i="1" s="1"/>
  <c r="Q1020" i="1" s="1"/>
  <c r="S1020" i="1" s="1"/>
  <c r="J1020" i="1" s="1"/>
  <c r="I1020" i="1"/>
  <c r="G1020" i="1"/>
  <c r="O1019" i="1"/>
  <c r="P1019" i="1" s="1"/>
  <c r="Q1019" i="1" s="1"/>
  <c r="S1019" i="1" s="1"/>
  <c r="J1019" i="1" s="1"/>
  <c r="I1019" i="1"/>
  <c r="G1019" i="1"/>
  <c r="O1018" i="1"/>
  <c r="P1018" i="1" s="1"/>
  <c r="Q1018" i="1" s="1"/>
  <c r="S1018" i="1" s="1"/>
  <c r="J1018" i="1" s="1"/>
  <c r="O1017" i="1"/>
  <c r="P1017" i="1" s="1"/>
  <c r="Q1017" i="1" s="1"/>
  <c r="S1017" i="1" s="1"/>
  <c r="J1017" i="1" s="1"/>
  <c r="O1016" i="1"/>
  <c r="P1016" i="1" s="1"/>
  <c r="Q1016" i="1" s="1"/>
  <c r="S1016" i="1" s="1"/>
  <c r="J1016" i="1" s="1"/>
  <c r="O1015" i="1"/>
  <c r="P1015" i="1" s="1"/>
  <c r="Q1015" i="1" s="1"/>
  <c r="S1015" i="1" s="1"/>
  <c r="J1015" i="1" s="1"/>
  <c r="O1014" i="1"/>
  <c r="P1014" i="1" s="1"/>
  <c r="Q1014" i="1" s="1"/>
  <c r="S1014" i="1" s="1"/>
  <c r="J1014" i="1" s="1"/>
  <c r="I1014" i="1"/>
  <c r="G1014" i="1"/>
  <c r="O1013" i="1"/>
  <c r="P1013" i="1" s="1"/>
  <c r="Q1013" i="1" s="1"/>
  <c r="S1013" i="1" s="1"/>
  <c r="J1013" i="1" s="1"/>
  <c r="I1013" i="1"/>
  <c r="G1013" i="1"/>
  <c r="O1012" i="1"/>
  <c r="P1012" i="1" s="1"/>
  <c r="Q1012" i="1" s="1"/>
  <c r="S1012" i="1" s="1"/>
  <c r="J1012" i="1" s="1"/>
  <c r="I1012" i="1"/>
  <c r="G1012" i="1"/>
  <c r="O1011" i="1"/>
  <c r="P1011" i="1" s="1"/>
  <c r="Q1011" i="1" s="1"/>
  <c r="S1011" i="1" s="1"/>
  <c r="J1011" i="1" s="1"/>
  <c r="I1011" i="1"/>
  <c r="G1011" i="1"/>
  <c r="O1010" i="1"/>
  <c r="P1010" i="1" s="1"/>
  <c r="Q1010" i="1" s="1"/>
  <c r="S1010" i="1" s="1"/>
  <c r="J1010" i="1" s="1"/>
  <c r="I1010" i="1"/>
  <c r="G1010" i="1"/>
  <c r="O1009" i="1"/>
  <c r="P1009" i="1" s="1"/>
  <c r="Q1009" i="1" s="1"/>
  <c r="S1009" i="1" s="1"/>
  <c r="J1009" i="1" s="1"/>
  <c r="I1009" i="1"/>
  <c r="G1009" i="1"/>
  <c r="O1008" i="1"/>
  <c r="P1008" i="1" s="1"/>
  <c r="Q1008" i="1" s="1"/>
  <c r="S1008" i="1" s="1"/>
  <c r="J1008" i="1" s="1"/>
  <c r="I1008" i="1"/>
  <c r="G1008" i="1"/>
  <c r="O1007" i="1"/>
  <c r="P1007" i="1" s="1"/>
  <c r="Q1007" i="1" s="1"/>
  <c r="S1007" i="1" s="1"/>
  <c r="J1007" i="1" s="1"/>
  <c r="I1007" i="1"/>
  <c r="G1007" i="1"/>
  <c r="O1006" i="1"/>
  <c r="P1006" i="1" s="1"/>
  <c r="Q1006" i="1" s="1"/>
  <c r="S1006" i="1" s="1"/>
  <c r="J1006" i="1" s="1"/>
  <c r="I1006" i="1"/>
  <c r="G1006" i="1"/>
  <c r="O1005" i="1"/>
  <c r="P1005" i="1" s="1"/>
  <c r="Q1005" i="1" s="1"/>
  <c r="S1005" i="1" s="1"/>
  <c r="J1005" i="1" s="1"/>
  <c r="I1005" i="1"/>
  <c r="G1005" i="1"/>
  <c r="O1004" i="1"/>
  <c r="P1004" i="1" s="1"/>
  <c r="Q1004" i="1" s="1"/>
  <c r="S1004" i="1" s="1"/>
  <c r="J1004" i="1" s="1"/>
  <c r="O1003" i="1"/>
  <c r="P1003" i="1" s="1"/>
  <c r="Q1003" i="1" s="1"/>
  <c r="S1003" i="1" s="1"/>
  <c r="J1003" i="1" s="1"/>
  <c r="O1002" i="1"/>
  <c r="P1002" i="1" s="1"/>
  <c r="Q1002" i="1" s="1"/>
  <c r="S1002" i="1" s="1"/>
  <c r="J1002" i="1" s="1"/>
  <c r="I1002" i="1"/>
  <c r="G1002" i="1"/>
  <c r="O1001" i="1"/>
  <c r="P1001" i="1" s="1"/>
  <c r="Q1001" i="1" s="1"/>
  <c r="S1001" i="1" s="1"/>
  <c r="J1001" i="1" s="1"/>
  <c r="I1001" i="1"/>
  <c r="G1001" i="1"/>
  <c r="O1000" i="1"/>
  <c r="P1000" i="1" s="1"/>
  <c r="Q1000" i="1" s="1"/>
  <c r="S1000" i="1" s="1"/>
  <c r="J1000" i="1" s="1"/>
  <c r="I1000" i="1"/>
  <c r="G1000" i="1"/>
  <c r="O999" i="1"/>
  <c r="P999" i="1" s="1"/>
  <c r="Q999" i="1" s="1"/>
  <c r="S999" i="1" s="1"/>
  <c r="J999" i="1" s="1"/>
  <c r="I999" i="1"/>
  <c r="G999" i="1"/>
  <c r="O998" i="1"/>
  <c r="P998" i="1" s="1"/>
  <c r="Q998" i="1" s="1"/>
  <c r="S998" i="1" s="1"/>
  <c r="J998" i="1" s="1"/>
  <c r="I998" i="1"/>
  <c r="G998" i="1"/>
  <c r="O997" i="1"/>
  <c r="P997" i="1" s="1"/>
  <c r="Q997" i="1" s="1"/>
  <c r="S997" i="1" s="1"/>
  <c r="J997" i="1" s="1"/>
  <c r="I997" i="1"/>
  <c r="G997" i="1"/>
  <c r="O996" i="1"/>
  <c r="P996" i="1" s="1"/>
  <c r="Q996" i="1" s="1"/>
  <c r="S996" i="1" s="1"/>
  <c r="J996" i="1" s="1"/>
  <c r="I996" i="1"/>
  <c r="G996" i="1"/>
  <c r="O995" i="1"/>
  <c r="P995" i="1" s="1"/>
  <c r="Q995" i="1" s="1"/>
  <c r="S995" i="1" s="1"/>
  <c r="J995" i="1" s="1"/>
  <c r="I995" i="1"/>
  <c r="G995" i="1"/>
  <c r="O994" i="1"/>
  <c r="P994" i="1" s="1"/>
  <c r="Q994" i="1" s="1"/>
  <c r="S994" i="1" s="1"/>
  <c r="J994" i="1" s="1"/>
  <c r="I994" i="1"/>
  <c r="G994" i="1"/>
  <c r="O993" i="1"/>
  <c r="P993" i="1" s="1"/>
  <c r="Q993" i="1" s="1"/>
  <c r="S993" i="1" s="1"/>
  <c r="J993" i="1" s="1"/>
  <c r="I993" i="1"/>
  <c r="G993" i="1"/>
  <c r="O992" i="1"/>
  <c r="P992" i="1" s="1"/>
  <c r="Q992" i="1" s="1"/>
  <c r="S992" i="1" s="1"/>
  <c r="J992" i="1" s="1"/>
  <c r="I992" i="1"/>
  <c r="G992" i="1"/>
  <c r="O991" i="1"/>
  <c r="P991" i="1" s="1"/>
  <c r="Q991" i="1" s="1"/>
  <c r="S991" i="1" s="1"/>
  <c r="J991" i="1" s="1"/>
  <c r="O990" i="1"/>
  <c r="P990" i="1" s="1"/>
  <c r="Q990" i="1" s="1"/>
  <c r="S990" i="1" s="1"/>
  <c r="J990" i="1" s="1"/>
  <c r="O989" i="1"/>
  <c r="P989" i="1" s="1"/>
  <c r="Q989" i="1" s="1"/>
  <c r="S989" i="1" s="1"/>
  <c r="J989" i="1" s="1"/>
  <c r="O988" i="1"/>
  <c r="P988" i="1" s="1"/>
  <c r="Q988" i="1" s="1"/>
  <c r="S988" i="1" s="1"/>
  <c r="J988" i="1" s="1"/>
  <c r="O987" i="1"/>
  <c r="P987" i="1" s="1"/>
  <c r="Q987" i="1" s="1"/>
  <c r="S987" i="1" s="1"/>
  <c r="J987" i="1" s="1"/>
  <c r="O986" i="1"/>
  <c r="P986" i="1" s="1"/>
  <c r="Q986" i="1" s="1"/>
  <c r="S986" i="1" s="1"/>
  <c r="J986" i="1" s="1"/>
  <c r="O985" i="1"/>
  <c r="P985" i="1" s="1"/>
  <c r="Q985" i="1" s="1"/>
  <c r="S985" i="1" s="1"/>
  <c r="J985" i="1" s="1"/>
  <c r="O984" i="1"/>
  <c r="P984" i="1" s="1"/>
  <c r="Q984" i="1" s="1"/>
  <c r="S984" i="1" s="1"/>
  <c r="J984" i="1" s="1"/>
  <c r="O983" i="1"/>
  <c r="P983" i="1" s="1"/>
  <c r="Q983" i="1" s="1"/>
  <c r="S983" i="1" s="1"/>
  <c r="J983" i="1" s="1"/>
  <c r="O982" i="1"/>
  <c r="P982" i="1" s="1"/>
  <c r="Q982" i="1" s="1"/>
  <c r="S982" i="1" s="1"/>
  <c r="J982" i="1" s="1"/>
  <c r="O981" i="1"/>
  <c r="P981" i="1" s="1"/>
  <c r="Q981" i="1" s="1"/>
  <c r="S981" i="1" s="1"/>
  <c r="J981" i="1" s="1"/>
  <c r="O980" i="1"/>
  <c r="P980" i="1" s="1"/>
  <c r="Q980" i="1" s="1"/>
  <c r="S980" i="1" s="1"/>
  <c r="J980" i="1" s="1"/>
  <c r="O979" i="1"/>
  <c r="P979" i="1" s="1"/>
  <c r="Q979" i="1" s="1"/>
  <c r="S979" i="1" s="1"/>
  <c r="J979" i="1" s="1"/>
  <c r="O978" i="1"/>
  <c r="P978" i="1" s="1"/>
  <c r="Q978" i="1" s="1"/>
  <c r="S978" i="1" s="1"/>
  <c r="J978" i="1" s="1"/>
  <c r="O977" i="1"/>
  <c r="P977" i="1" s="1"/>
  <c r="Q977" i="1" s="1"/>
  <c r="S977" i="1" s="1"/>
  <c r="J977" i="1" s="1"/>
  <c r="I977" i="1"/>
  <c r="G977" i="1"/>
  <c r="O976" i="1"/>
  <c r="P976" i="1" s="1"/>
  <c r="Q976" i="1" s="1"/>
  <c r="S976" i="1" s="1"/>
  <c r="J976" i="1" s="1"/>
  <c r="I976" i="1"/>
  <c r="G976" i="1"/>
  <c r="O975" i="1"/>
  <c r="P975" i="1" s="1"/>
  <c r="Q975" i="1" s="1"/>
  <c r="S975" i="1" s="1"/>
  <c r="J975" i="1" s="1"/>
  <c r="I975" i="1"/>
  <c r="G975" i="1"/>
  <c r="O974" i="1"/>
  <c r="P974" i="1" s="1"/>
  <c r="Q974" i="1" s="1"/>
  <c r="S974" i="1" s="1"/>
  <c r="J974" i="1" s="1"/>
  <c r="I974" i="1"/>
  <c r="G974" i="1"/>
  <c r="O973" i="1"/>
  <c r="P973" i="1" s="1"/>
  <c r="Q973" i="1" s="1"/>
  <c r="S973" i="1" s="1"/>
  <c r="I973" i="1"/>
  <c r="G973" i="1"/>
  <c r="O972" i="1"/>
  <c r="P972" i="1" s="1"/>
  <c r="Q972" i="1" s="1"/>
  <c r="S972" i="1" s="1"/>
  <c r="J972" i="1" s="1"/>
  <c r="O971" i="1"/>
  <c r="P971" i="1" s="1"/>
  <c r="Q971" i="1" s="1"/>
  <c r="S971" i="1" s="1"/>
  <c r="O970" i="1"/>
  <c r="P970" i="1" s="1"/>
  <c r="Q970" i="1" s="1"/>
  <c r="S970" i="1" s="1"/>
  <c r="J970" i="1" s="1"/>
  <c r="I970" i="1"/>
  <c r="G970" i="1"/>
  <c r="O969" i="1"/>
  <c r="P969" i="1" s="1"/>
  <c r="Q969" i="1" s="1"/>
  <c r="S969" i="1" s="1"/>
  <c r="I969" i="1"/>
  <c r="G969" i="1"/>
  <c r="O968" i="1"/>
  <c r="P968" i="1" s="1"/>
  <c r="Q968" i="1" s="1"/>
  <c r="S968" i="1" s="1"/>
  <c r="J968" i="1" s="1"/>
  <c r="I968" i="1"/>
  <c r="G968" i="1"/>
  <c r="O967" i="1"/>
  <c r="P967" i="1" s="1"/>
  <c r="Q967" i="1" s="1"/>
  <c r="S967" i="1" s="1"/>
  <c r="O966" i="1"/>
  <c r="P966" i="1" s="1"/>
  <c r="Q966" i="1" s="1"/>
  <c r="S966" i="1" s="1"/>
  <c r="J966" i="1" s="1"/>
  <c r="I966" i="1"/>
  <c r="G966" i="1"/>
  <c r="O965" i="1"/>
  <c r="P965" i="1" s="1"/>
  <c r="Q965" i="1" s="1"/>
  <c r="S965" i="1" s="1"/>
  <c r="I965" i="1"/>
  <c r="G965" i="1"/>
  <c r="O964" i="1"/>
  <c r="P964" i="1" s="1"/>
  <c r="Q964" i="1" s="1"/>
  <c r="S964" i="1" s="1"/>
  <c r="J964" i="1" s="1"/>
  <c r="I964" i="1"/>
  <c r="G964" i="1"/>
  <c r="O963" i="1"/>
  <c r="P963" i="1" s="1"/>
  <c r="Q963" i="1" s="1"/>
  <c r="S963" i="1" s="1"/>
  <c r="O962" i="1"/>
  <c r="P962" i="1" s="1"/>
  <c r="Q962" i="1" s="1"/>
  <c r="S962" i="1" s="1"/>
  <c r="J962" i="1" s="1"/>
  <c r="O961" i="1"/>
  <c r="P961" i="1" s="1"/>
  <c r="Q961" i="1" s="1"/>
  <c r="S961" i="1" s="1"/>
  <c r="I961" i="1"/>
  <c r="O960" i="1"/>
  <c r="P960" i="1" s="1"/>
  <c r="Q960" i="1" s="1"/>
  <c r="S960" i="1" s="1"/>
  <c r="O959" i="1"/>
  <c r="P959" i="1" s="1"/>
  <c r="Q959" i="1" s="1"/>
  <c r="S959" i="1" s="1"/>
  <c r="J959" i="1" s="1"/>
  <c r="I959" i="1"/>
  <c r="G959" i="1"/>
  <c r="O958" i="1"/>
  <c r="P958" i="1" s="1"/>
  <c r="Q958" i="1" s="1"/>
  <c r="S958" i="1" s="1"/>
  <c r="I958" i="1"/>
  <c r="G958" i="1"/>
  <c r="O957" i="1"/>
  <c r="P957" i="1" s="1"/>
  <c r="Q957" i="1" s="1"/>
  <c r="S957" i="1" s="1"/>
  <c r="J957" i="1" s="1"/>
  <c r="O956" i="1"/>
  <c r="P956" i="1" s="1"/>
  <c r="Q956" i="1" s="1"/>
  <c r="S956" i="1" s="1"/>
  <c r="O955" i="1"/>
  <c r="P955" i="1" s="1"/>
  <c r="Q955" i="1" s="1"/>
  <c r="S955" i="1" s="1"/>
  <c r="J955" i="1" s="1"/>
  <c r="O954" i="1"/>
  <c r="P954" i="1" s="1"/>
  <c r="Q954" i="1" s="1"/>
  <c r="S954" i="1" s="1"/>
  <c r="O953" i="1"/>
  <c r="P953" i="1" s="1"/>
  <c r="Q953" i="1" s="1"/>
  <c r="S953" i="1" s="1"/>
  <c r="J953" i="1" s="1"/>
  <c r="I953" i="1"/>
  <c r="G953" i="1"/>
  <c r="O952" i="1"/>
  <c r="P952" i="1" s="1"/>
  <c r="Q952" i="1" s="1"/>
  <c r="S952" i="1" s="1"/>
  <c r="I952" i="1"/>
  <c r="G952" i="1"/>
  <c r="O951" i="1"/>
  <c r="P951" i="1" s="1"/>
  <c r="Q951" i="1" s="1"/>
  <c r="S951" i="1" s="1"/>
  <c r="J951" i="1" s="1"/>
  <c r="O950" i="1"/>
  <c r="P950" i="1" s="1"/>
  <c r="Q950" i="1" s="1"/>
  <c r="S950" i="1" s="1"/>
  <c r="O949" i="1"/>
  <c r="P949" i="1" s="1"/>
  <c r="Q949" i="1" s="1"/>
  <c r="S949" i="1" s="1"/>
  <c r="J949" i="1" s="1"/>
  <c r="O948" i="1"/>
  <c r="P948" i="1" s="1"/>
  <c r="Q948" i="1" s="1"/>
  <c r="S948" i="1" s="1"/>
  <c r="I948" i="1"/>
  <c r="G948" i="1"/>
  <c r="O947" i="1"/>
  <c r="P947" i="1" s="1"/>
  <c r="Q947" i="1" s="1"/>
  <c r="S947" i="1" s="1"/>
  <c r="J947" i="1" s="1"/>
  <c r="O946" i="1"/>
  <c r="P946" i="1" s="1"/>
  <c r="Q946" i="1" s="1"/>
  <c r="S946" i="1" s="1"/>
  <c r="O945" i="1"/>
  <c r="P945" i="1" s="1"/>
  <c r="Q945" i="1" s="1"/>
  <c r="S945" i="1" s="1"/>
  <c r="J945" i="1" s="1"/>
  <c r="I945" i="1"/>
  <c r="G945" i="1"/>
  <c r="O944" i="1"/>
  <c r="P944" i="1" s="1"/>
  <c r="Q944" i="1" s="1"/>
  <c r="S944" i="1" s="1"/>
  <c r="O943" i="1"/>
  <c r="P943" i="1" s="1"/>
  <c r="Q943" i="1" s="1"/>
  <c r="S943" i="1" s="1"/>
  <c r="J943" i="1" s="1"/>
  <c r="O942" i="1"/>
  <c r="P942" i="1" s="1"/>
  <c r="Q942" i="1" s="1"/>
  <c r="S942" i="1" s="1"/>
  <c r="O941" i="1"/>
  <c r="P941" i="1" s="1"/>
  <c r="Q941" i="1" s="1"/>
  <c r="S941" i="1" s="1"/>
  <c r="J941" i="1" s="1"/>
  <c r="O940" i="1"/>
  <c r="P940" i="1" s="1"/>
  <c r="Q940" i="1" s="1"/>
  <c r="S940" i="1" s="1"/>
  <c r="O939" i="1"/>
  <c r="P939" i="1" s="1"/>
  <c r="Q939" i="1" s="1"/>
  <c r="S939" i="1" s="1"/>
  <c r="J939" i="1" s="1"/>
  <c r="O938" i="1"/>
  <c r="P938" i="1" s="1"/>
  <c r="Q938" i="1" s="1"/>
  <c r="S938" i="1" s="1"/>
  <c r="O937" i="1"/>
  <c r="P937" i="1" s="1"/>
  <c r="Q937" i="1" s="1"/>
  <c r="S937" i="1" s="1"/>
  <c r="J937" i="1" s="1"/>
  <c r="O936" i="1"/>
  <c r="P936" i="1" s="1"/>
  <c r="Q936" i="1" s="1"/>
  <c r="S936" i="1" s="1"/>
  <c r="I936" i="1"/>
  <c r="G936" i="1"/>
  <c r="O935" i="1"/>
  <c r="P935" i="1" s="1"/>
  <c r="Q935" i="1" s="1"/>
  <c r="S935" i="1" s="1"/>
  <c r="J935" i="1" s="1"/>
  <c r="O934" i="1"/>
  <c r="P934" i="1" s="1"/>
  <c r="Q934" i="1" s="1"/>
  <c r="S934" i="1" s="1"/>
  <c r="O933" i="1"/>
  <c r="P933" i="1" s="1"/>
  <c r="Q933" i="1" s="1"/>
  <c r="S933" i="1" s="1"/>
  <c r="J933" i="1" s="1"/>
  <c r="O932" i="1"/>
  <c r="P932" i="1" s="1"/>
  <c r="Q932" i="1" s="1"/>
  <c r="S932" i="1" s="1"/>
  <c r="O931" i="1"/>
  <c r="P931" i="1" s="1"/>
  <c r="Q931" i="1" s="1"/>
  <c r="S931" i="1" s="1"/>
  <c r="J931" i="1" s="1"/>
  <c r="O930" i="1"/>
  <c r="P930" i="1" s="1"/>
  <c r="Q930" i="1" s="1"/>
  <c r="S930" i="1" s="1"/>
  <c r="O929" i="1"/>
  <c r="P929" i="1" s="1"/>
  <c r="Q929" i="1" s="1"/>
  <c r="S929" i="1" s="1"/>
  <c r="J929" i="1" s="1"/>
  <c r="I929" i="1"/>
  <c r="G929" i="1"/>
  <c r="O928" i="1"/>
  <c r="P928" i="1" s="1"/>
  <c r="Q928" i="1" s="1"/>
  <c r="S928" i="1" s="1"/>
  <c r="I928" i="1"/>
  <c r="G928" i="1"/>
  <c r="O927" i="1"/>
  <c r="P927" i="1" s="1"/>
  <c r="Q927" i="1" s="1"/>
  <c r="S927" i="1" s="1"/>
  <c r="J927" i="1" s="1"/>
  <c r="I927" i="1"/>
  <c r="G927" i="1"/>
  <c r="O926" i="1"/>
  <c r="P926" i="1" s="1"/>
  <c r="Q926" i="1" s="1"/>
  <c r="S926" i="1" s="1"/>
  <c r="I926" i="1"/>
  <c r="G926" i="1"/>
  <c r="O925" i="1"/>
  <c r="P925" i="1" s="1"/>
  <c r="Q925" i="1" s="1"/>
  <c r="S925" i="1" s="1"/>
  <c r="J925" i="1" s="1"/>
  <c r="I925" i="1"/>
  <c r="G925" i="1"/>
  <c r="O924" i="1"/>
  <c r="P924" i="1" s="1"/>
  <c r="Q924" i="1" s="1"/>
  <c r="S924" i="1" s="1"/>
  <c r="I924" i="1"/>
  <c r="G924" i="1"/>
  <c r="O923" i="1"/>
  <c r="P923" i="1" s="1"/>
  <c r="Q923" i="1" s="1"/>
  <c r="S923" i="1" s="1"/>
  <c r="J923" i="1" s="1"/>
  <c r="I923" i="1"/>
  <c r="G923" i="1"/>
  <c r="O922" i="1"/>
  <c r="P922" i="1" s="1"/>
  <c r="Q922" i="1" s="1"/>
  <c r="S922" i="1" s="1"/>
  <c r="I922" i="1"/>
  <c r="G922" i="1"/>
  <c r="O921" i="1"/>
  <c r="P921" i="1" s="1"/>
  <c r="Q921" i="1" s="1"/>
  <c r="S921" i="1" s="1"/>
  <c r="J921" i="1" s="1"/>
  <c r="O920" i="1"/>
  <c r="P920" i="1" s="1"/>
  <c r="Q920" i="1" s="1"/>
  <c r="S920" i="1" s="1"/>
  <c r="I920" i="1"/>
  <c r="G920" i="1"/>
  <c r="O919" i="1"/>
  <c r="P919" i="1" s="1"/>
  <c r="Q919" i="1" s="1"/>
  <c r="S919" i="1" s="1"/>
  <c r="J919" i="1" s="1"/>
  <c r="I919" i="1"/>
  <c r="G919" i="1"/>
  <c r="O918" i="1"/>
  <c r="P918" i="1" s="1"/>
  <c r="Q918" i="1" s="1"/>
  <c r="S918" i="1" s="1"/>
  <c r="O917" i="1"/>
  <c r="P917" i="1" s="1"/>
  <c r="Q917" i="1" s="1"/>
  <c r="S917" i="1" s="1"/>
  <c r="J917" i="1" s="1"/>
  <c r="I917" i="1"/>
  <c r="G917" i="1"/>
  <c r="O916" i="1"/>
  <c r="P916" i="1" s="1"/>
  <c r="Q916" i="1" s="1"/>
  <c r="S916" i="1" s="1"/>
  <c r="I916" i="1"/>
  <c r="G916" i="1"/>
  <c r="O915" i="1"/>
  <c r="P915" i="1" s="1"/>
  <c r="Q915" i="1" s="1"/>
  <c r="S915" i="1" s="1"/>
  <c r="J915" i="1" s="1"/>
  <c r="I915" i="1"/>
  <c r="G915" i="1"/>
  <c r="O914" i="1"/>
  <c r="P914" i="1" s="1"/>
  <c r="Q914" i="1" s="1"/>
  <c r="S914" i="1" s="1"/>
  <c r="I914" i="1"/>
  <c r="O913" i="1"/>
  <c r="P913" i="1" s="1"/>
  <c r="Q913" i="1" s="1"/>
  <c r="S913" i="1" s="1"/>
  <c r="I913" i="1"/>
  <c r="O912" i="1"/>
  <c r="P912" i="1" s="1"/>
  <c r="Q912" i="1" s="1"/>
  <c r="S912" i="1" s="1"/>
  <c r="I912" i="1"/>
  <c r="G912" i="1"/>
  <c r="O911" i="1"/>
  <c r="P911" i="1" s="1"/>
  <c r="Q911" i="1" s="1"/>
  <c r="S911" i="1" s="1"/>
  <c r="J911" i="1" s="1"/>
  <c r="I911" i="1"/>
  <c r="O910" i="1"/>
  <c r="P910" i="1" s="1"/>
  <c r="Q910" i="1" s="1"/>
  <c r="S910" i="1" s="1"/>
  <c r="J910" i="1" s="1"/>
  <c r="I910" i="1"/>
  <c r="O909" i="1"/>
  <c r="P909" i="1" s="1"/>
  <c r="Q909" i="1" s="1"/>
  <c r="S909" i="1" s="1"/>
  <c r="J909" i="1" s="1"/>
  <c r="I909" i="1"/>
  <c r="O908" i="1"/>
  <c r="P908" i="1" s="1"/>
  <c r="Q908" i="1" s="1"/>
  <c r="S908" i="1" s="1"/>
  <c r="J908" i="1" s="1"/>
  <c r="I908" i="1"/>
  <c r="G908" i="1"/>
  <c r="O907" i="1"/>
  <c r="P907" i="1" s="1"/>
  <c r="Q907" i="1" s="1"/>
  <c r="S907" i="1" s="1"/>
  <c r="I907" i="1"/>
  <c r="G907" i="1"/>
  <c r="O906" i="1"/>
  <c r="P906" i="1" s="1"/>
  <c r="Q906" i="1" s="1"/>
  <c r="S906" i="1" s="1"/>
  <c r="J906" i="1" s="1"/>
  <c r="I906" i="1"/>
  <c r="G906" i="1"/>
  <c r="O905" i="1"/>
  <c r="P905" i="1" s="1"/>
  <c r="Q905" i="1" s="1"/>
  <c r="S905" i="1" s="1"/>
  <c r="O904" i="1"/>
  <c r="P904" i="1" s="1"/>
  <c r="Q904" i="1" s="1"/>
  <c r="S904" i="1" s="1"/>
  <c r="J904" i="1" s="1"/>
  <c r="O903" i="1"/>
  <c r="P903" i="1" s="1"/>
  <c r="Q903" i="1" s="1"/>
  <c r="S903" i="1" s="1"/>
  <c r="I903" i="1"/>
  <c r="G903" i="1"/>
  <c r="O902" i="1"/>
  <c r="P902" i="1" s="1"/>
  <c r="Q902" i="1" s="1"/>
  <c r="S902" i="1" s="1"/>
  <c r="J902" i="1" s="1"/>
  <c r="I902" i="1"/>
  <c r="G902" i="1"/>
  <c r="O901" i="1"/>
  <c r="P901" i="1" s="1"/>
  <c r="Q901" i="1" s="1"/>
  <c r="S901" i="1" s="1"/>
  <c r="O900" i="1"/>
  <c r="P900" i="1" s="1"/>
  <c r="Q900" i="1" s="1"/>
  <c r="S900" i="1" s="1"/>
  <c r="J900" i="1" s="1"/>
  <c r="O899" i="1"/>
  <c r="P899" i="1" s="1"/>
  <c r="Q899" i="1" s="1"/>
  <c r="S899" i="1" s="1"/>
  <c r="O898" i="1"/>
  <c r="P898" i="1" s="1"/>
  <c r="Q898" i="1" s="1"/>
  <c r="S898" i="1" s="1"/>
  <c r="J898" i="1" s="1"/>
  <c r="B898" i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109" i="1" s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s="1"/>
  <c r="B1123" i="1" s="1"/>
  <c r="B1124" i="1" s="1"/>
  <c r="B1126" i="1" s="1"/>
  <c r="B1127" i="1" s="1"/>
  <c r="B1128" i="1" s="1"/>
  <c r="B1129" i="1" s="1"/>
  <c r="B1130" i="1" s="1"/>
  <c r="B1132" i="1" s="1"/>
  <c r="B1133" i="1" s="1"/>
  <c r="O897" i="1"/>
  <c r="P897" i="1" s="1"/>
  <c r="Q897" i="1" s="1"/>
  <c r="S897" i="1" s="1"/>
  <c r="H896" i="1"/>
  <c r="I896" i="1" s="1"/>
  <c r="F896" i="1"/>
  <c r="G896" i="1" s="1"/>
  <c r="H895" i="1"/>
  <c r="F895" i="1"/>
  <c r="G895" i="1" s="1"/>
  <c r="H894" i="1"/>
  <c r="I894" i="1" s="1"/>
  <c r="F894" i="1"/>
  <c r="G894" i="1" s="1"/>
  <c r="H893" i="1"/>
  <c r="F893" i="1"/>
  <c r="G893" i="1" s="1"/>
  <c r="H892" i="1"/>
  <c r="I892" i="1" s="1"/>
  <c r="F892" i="1"/>
  <c r="G892" i="1" s="1"/>
  <c r="I891" i="1"/>
  <c r="H891" i="1"/>
  <c r="O891" i="1" s="1"/>
  <c r="P891" i="1" s="1"/>
  <c r="Q891" i="1" s="1"/>
  <c r="S891" i="1" s="1"/>
  <c r="G891" i="1"/>
  <c r="F891" i="1"/>
  <c r="O890" i="1"/>
  <c r="H889" i="1"/>
  <c r="O889" i="1" s="1"/>
  <c r="F889" i="1"/>
  <c r="G889" i="1" s="1"/>
  <c r="B889" i="1"/>
  <c r="B890" i="1" s="1"/>
  <c r="B891" i="1" s="1"/>
  <c r="B892" i="1" s="1"/>
  <c r="B893" i="1" s="1"/>
  <c r="B894" i="1" s="1"/>
  <c r="B895" i="1" s="1"/>
  <c r="B896" i="1" s="1"/>
  <c r="O888" i="1"/>
  <c r="P888" i="1" s="1"/>
  <c r="Q888" i="1" s="1"/>
  <c r="S888" i="1" s="1"/>
  <c r="H887" i="1"/>
  <c r="F887" i="1"/>
  <c r="G887" i="1" s="1"/>
  <c r="H886" i="1"/>
  <c r="I886" i="1" s="1"/>
  <c r="F886" i="1"/>
  <c r="G886" i="1" s="1"/>
  <c r="H885" i="1"/>
  <c r="F885" i="1"/>
  <c r="G885" i="1" s="1"/>
  <c r="H884" i="1"/>
  <c r="I884" i="1" s="1"/>
  <c r="F884" i="1"/>
  <c r="G884" i="1" s="1"/>
  <c r="H883" i="1"/>
  <c r="O883" i="1" s="1"/>
  <c r="P883" i="1" s="1"/>
  <c r="Q883" i="1" s="1"/>
  <c r="S883" i="1" s="1"/>
  <c r="F883" i="1"/>
  <c r="G883" i="1" s="1"/>
  <c r="H882" i="1"/>
  <c r="I882" i="1" s="1"/>
  <c r="F882" i="1"/>
  <c r="G882" i="1" s="1"/>
  <c r="H881" i="1"/>
  <c r="O881" i="1" s="1"/>
  <c r="F881" i="1"/>
  <c r="G881" i="1" s="1"/>
  <c r="H880" i="1"/>
  <c r="I880" i="1" s="1"/>
  <c r="F880" i="1"/>
  <c r="G880" i="1" s="1"/>
  <c r="H879" i="1"/>
  <c r="O879" i="1" s="1"/>
  <c r="P879" i="1" s="1"/>
  <c r="Q879" i="1" s="1"/>
  <c r="S879" i="1" s="1"/>
  <c r="F879" i="1"/>
  <c r="G879" i="1" s="1"/>
  <c r="O878" i="1"/>
  <c r="I878" i="1"/>
  <c r="H877" i="1"/>
  <c r="I877" i="1" s="1"/>
  <c r="F877" i="1"/>
  <c r="G877" i="1" s="1"/>
  <c r="H876" i="1"/>
  <c r="F876" i="1"/>
  <c r="G876" i="1" s="1"/>
  <c r="H875" i="1"/>
  <c r="I875" i="1" s="1"/>
  <c r="F875" i="1"/>
  <c r="G875" i="1" s="1"/>
  <c r="H874" i="1"/>
  <c r="F874" i="1"/>
  <c r="G874" i="1" s="1"/>
  <c r="H873" i="1"/>
  <c r="I873" i="1" s="1"/>
  <c r="F873" i="1"/>
  <c r="G873" i="1" s="1"/>
  <c r="H872" i="1"/>
  <c r="F872" i="1"/>
  <c r="G872" i="1" s="1"/>
  <c r="H871" i="1"/>
  <c r="I871" i="1" s="1"/>
  <c r="F871" i="1"/>
  <c r="G871" i="1" s="1"/>
  <c r="H870" i="1"/>
  <c r="O870" i="1" s="1"/>
  <c r="F870" i="1"/>
  <c r="G870" i="1" s="1"/>
  <c r="H869" i="1"/>
  <c r="I869" i="1" s="1"/>
  <c r="F869" i="1"/>
  <c r="G869" i="1" s="1"/>
  <c r="H868" i="1"/>
  <c r="O868" i="1" s="1"/>
  <c r="F868" i="1"/>
  <c r="G868" i="1" s="1"/>
  <c r="H867" i="1"/>
  <c r="I867" i="1" s="1"/>
  <c r="F867" i="1"/>
  <c r="G867" i="1" s="1"/>
  <c r="H866" i="1"/>
  <c r="O866" i="1" s="1"/>
  <c r="F866" i="1"/>
  <c r="G866" i="1" s="1"/>
  <c r="H865" i="1"/>
  <c r="I865" i="1" s="1"/>
  <c r="H864" i="1"/>
  <c r="O864" i="1" s="1"/>
  <c r="F864" i="1"/>
  <c r="G864" i="1" s="1"/>
  <c r="H863" i="1"/>
  <c r="I863" i="1" s="1"/>
  <c r="F863" i="1"/>
  <c r="G863" i="1" s="1"/>
  <c r="H862" i="1"/>
  <c r="O862" i="1" s="1"/>
  <c r="F862" i="1"/>
  <c r="G862" i="1" s="1"/>
  <c r="H861" i="1"/>
  <c r="I861" i="1" s="1"/>
  <c r="F861" i="1"/>
  <c r="G861" i="1" s="1"/>
  <c r="H860" i="1"/>
  <c r="O860" i="1" s="1"/>
  <c r="F860" i="1"/>
  <c r="G860" i="1" s="1"/>
  <c r="H859" i="1"/>
  <c r="I859" i="1" s="1"/>
  <c r="F859" i="1"/>
  <c r="G859" i="1" s="1"/>
  <c r="H858" i="1"/>
  <c r="O858" i="1" s="1"/>
  <c r="F858" i="1"/>
  <c r="G858" i="1" s="1"/>
  <c r="H857" i="1"/>
  <c r="I857" i="1" s="1"/>
  <c r="F857" i="1"/>
  <c r="G857" i="1" s="1"/>
  <c r="H856" i="1"/>
  <c r="O856" i="1" s="1"/>
  <c r="F856" i="1"/>
  <c r="G856" i="1" s="1"/>
  <c r="H855" i="1"/>
  <c r="I855" i="1" s="1"/>
  <c r="F855" i="1"/>
  <c r="G855" i="1" s="1"/>
  <c r="H854" i="1"/>
  <c r="O854" i="1" s="1"/>
  <c r="F854" i="1"/>
  <c r="G854" i="1" s="1"/>
  <c r="H853" i="1"/>
  <c r="I853" i="1" s="1"/>
  <c r="F853" i="1"/>
  <c r="G853" i="1" s="1"/>
  <c r="H852" i="1"/>
  <c r="O852" i="1" s="1"/>
  <c r="F852" i="1"/>
  <c r="G852" i="1" s="1"/>
  <c r="O851" i="1"/>
  <c r="P851" i="1" s="1"/>
  <c r="Q851" i="1" s="1"/>
  <c r="S851" i="1" s="1"/>
  <c r="J851" i="1" s="1"/>
  <c r="H850" i="1"/>
  <c r="O850" i="1" s="1"/>
  <c r="F850" i="1"/>
  <c r="G850" i="1" s="1"/>
  <c r="H849" i="1"/>
  <c r="I849" i="1" s="1"/>
  <c r="F849" i="1"/>
  <c r="G849" i="1" s="1"/>
  <c r="H848" i="1"/>
  <c r="O848" i="1" s="1"/>
  <c r="F848" i="1"/>
  <c r="G848" i="1" s="1"/>
  <c r="H847" i="1"/>
  <c r="I847" i="1" s="1"/>
  <c r="F847" i="1"/>
  <c r="G847" i="1" s="1"/>
  <c r="H846" i="1"/>
  <c r="O846" i="1" s="1"/>
  <c r="F846" i="1"/>
  <c r="G846" i="1" s="1"/>
  <c r="H845" i="1"/>
  <c r="I845" i="1" s="1"/>
  <c r="F845" i="1"/>
  <c r="G845" i="1" s="1"/>
  <c r="H844" i="1"/>
  <c r="O844" i="1" s="1"/>
  <c r="F844" i="1"/>
  <c r="G844" i="1" s="1"/>
  <c r="H843" i="1"/>
  <c r="I843" i="1" s="1"/>
  <c r="F843" i="1"/>
  <c r="G843" i="1" s="1"/>
  <c r="H842" i="1"/>
  <c r="O842" i="1" s="1"/>
  <c r="F842" i="1"/>
  <c r="G842" i="1" s="1"/>
  <c r="H841" i="1"/>
  <c r="I841" i="1" s="1"/>
  <c r="F841" i="1"/>
  <c r="G841" i="1" s="1"/>
  <c r="H840" i="1"/>
  <c r="O840" i="1" s="1"/>
  <c r="F840" i="1"/>
  <c r="G840" i="1" s="1"/>
  <c r="H839" i="1"/>
  <c r="I839" i="1" s="1"/>
  <c r="F839" i="1"/>
  <c r="G839" i="1" s="1"/>
  <c r="O838" i="1"/>
  <c r="P838" i="1" s="1"/>
  <c r="Q838" i="1" s="1"/>
  <c r="S838" i="1" s="1"/>
  <c r="J838" i="1" s="1"/>
  <c r="I838" i="1"/>
  <c r="F838" i="1"/>
  <c r="G838" i="1" s="1"/>
  <c r="O837" i="1"/>
  <c r="P837" i="1" s="1"/>
  <c r="Q837" i="1" s="1"/>
  <c r="S837" i="1" s="1"/>
  <c r="J837" i="1" s="1"/>
  <c r="I837" i="1"/>
  <c r="F837" i="1"/>
  <c r="G837" i="1" s="1"/>
  <c r="H836" i="1"/>
  <c r="O836" i="1" s="1"/>
  <c r="F836" i="1"/>
  <c r="G836" i="1" s="1"/>
  <c r="H835" i="1"/>
  <c r="I835" i="1" s="1"/>
  <c r="F835" i="1"/>
  <c r="G835" i="1" s="1"/>
  <c r="H834" i="1"/>
  <c r="O834" i="1" s="1"/>
  <c r="F834" i="1"/>
  <c r="G834" i="1" s="1"/>
  <c r="O833" i="1"/>
  <c r="P833" i="1" s="1"/>
  <c r="Q833" i="1" s="1"/>
  <c r="S833" i="1" s="1"/>
  <c r="J833" i="1" s="1"/>
  <c r="H832" i="1"/>
  <c r="O832" i="1" s="1"/>
  <c r="F832" i="1"/>
  <c r="G832" i="1" s="1"/>
  <c r="H831" i="1"/>
  <c r="I831" i="1" s="1"/>
  <c r="F831" i="1"/>
  <c r="G831" i="1" s="1"/>
  <c r="O830" i="1"/>
  <c r="P830" i="1" s="1"/>
  <c r="Q830" i="1" s="1"/>
  <c r="S830" i="1" s="1"/>
  <c r="J830" i="1" s="1"/>
  <c r="H829" i="1"/>
  <c r="I829" i="1" s="1"/>
  <c r="F829" i="1"/>
  <c r="G829" i="1" s="1"/>
  <c r="O828" i="1"/>
  <c r="P828" i="1" s="1"/>
  <c r="Q828" i="1" s="1"/>
  <c r="S828" i="1" s="1"/>
  <c r="J828" i="1" s="1"/>
  <c r="F828" i="1"/>
  <c r="G828" i="1" s="1"/>
  <c r="O827" i="1"/>
  <c r="P827" i="1" s="1"/>
  <c r="Q827" i="1" s="1"/>
  <c r="S827" i="1" s="1"/>
  <c r="J827" i="1" s="1"/>
  <c r="F827" i="1"/>
  <c r="G827" i="1" s="1"/>
  <c r="H826" i="1"/>
  <c r="O826" i="1" s="1"/>
  <c r="F826" i="1"/>
  <c r="G826" i="1" s="1"/>
  <c r="H825" i="1"/>
  <c r="I825" i="1" s="1"/>
  <c r="F825" i="1"/>
  <c r="G825" i="1" s="1"/>
  <c r="H824" i="1"/>
  <c r="O824" i="1" s="1"/>
  <c r="F824" i="1"/>
  <c r="G824" i="1" s="1"/>
  <c r="H823" i="1"/>
  <c r="I823" i="1" s="1"/>
  <c r="F823" i="1"/>
  <c r="G823" i="1" s="1"/>
  <c r="H822" i="1"/>
  <c r="O822" i="1" s="1"/>
  <c r="F822" i="1"/>
  <c r="G822" i="1" s="1"/>
  <c r="H821" i="1"/>
  <c r="I821" i="1" s="1"/>
  <c r="F821" i="1"/>
  <c r="G821" i="1" s="1"/>
  <c r="H820" i="1"/>
  <c r="O820" i="1" s="1"/>
  <c r="F820" i="1"/>
  <c r="G820" i="1" s="1"/>
  <c r="H819" i="1"/>
  <c r="I819" i="1" s="1"/>
  <c r="F819" i="1"/>
  <c r="G819" i="1" s="1"/>
  <c r="H818" i="1"/>
  <c r="O818" i="1" s="1"/>
  <c r="F818" i="1"/>
  <c r="G818" i="1" s="1"/>
  <c r="H817" i="1"/>
  <c r="I817" i="1" s="1"/>
  <c r="F817" i="1"/>
  <c r="G817" i="1" s="1"/>
  <c r="H816" i="1"/>
  <c r="O816" i="1" s="1"/>
  <c r="F816" i="1"/>
  <c r="G816" i="1" s="1"/>
  <c r="H815" i="1"/>
  <c r="I815" i="1" s="1"/>
  <c r="F815" i="1"/>
  <c r="G815" i="1" s="1"/>
  <c r="O814" i="1"/>
  <c r="P814" i="1" s="1"/>
  <c r="Q814" i="1" s="1"/>
  <c r="S814" i="1" s="1"/>
  <c r="J814" i="1" s="1"/>
  <c r="H813" i="1"/>
  <c r="I813" i="1" s="1"/>
  <c r="F813" i="1"/>
  <c r="G813" i="1" s="1"/>
  <c r="H812" i="1"/>
  <c r="O812" i="1" s="1"/>
  <c r="F812" i="1"/>
  <c r="G812" i="1" s="1"/>
  <c r="H811" i="1"/>
  <c r="I811" i="1" s="1"/>
  <c r="F811" i="1"/>
  <c r="G811" i="1" s="1"/>
  <c r="H810" i="1"/>
  <c r="O810" i="1" s="1"/>
  <c r="F810" i="1"/>
  <c r="G810" i="1" s="1"/>
  <c r="H809" i="1"/>
  <c r="I809" i="1" s="1"/>
  <c r="F809" i="1"/>
  <c r="G809" i="1" s="1"/>
  <c r="H808" i="1"/>
  <c r="O808" i="1" s="1"/>
  <c r="F808" i="1"/>
  <c r="G808" i="1" s="1"/>
  <c r="H807" i="1"/>
  <c r="I807" i="1" s="1"/>
  <c r="F807" i="1"/>
  <c r="G807" i="1" s="1"/>
  <c r="H806" i="1"/>
  <c r="O806" i="1" s="1"/>
  <c r="F806" i="1"/>
  <c r="G806" i="1" s="1"/>
  <c r="H805" i="1"/>
  <c r="I805" i="1" s="1"/>
  <c r="F805" i="1"/>
  <c r="G805" i="1" s="1"/>
  <c r="H804" i="1"/>
  <c r="O804" i="1" s="1"/>
  <c r="F804" i="1"/>
  <c r="G804" i="1" s="1"/>
  <c r="H803" i="1"/>
  <c r="I803" i="1" s="1"/>
  <c r="F803" i="1"/>
  <c r="G803" i="1" s="1"/>
  <c r="H802" i="1"/>
  <c r="O802" i="1" s="1"/>
  <c r="F802" i="1"/>
  <c r="G802" i="1" s="1"/>
  <c r="H801" i="1"/>
  <c r="I801" i="1" s="1"/>
  <c r="F801" i="1"/>
  <c r="G801" i="1" s="1"/>
  <c r="H800" i="1"/>
  <c r="O800" i="1" s="1"/>
  <c r="F800" i="1"/>
  <c r="G800" i="1" s="1"/>
  <c r="H799" i="1"/>
  <c r="I799" i="1" s="1"/>
  <c r="F799" i="1"/>
  <c r="G799" i="1" s="1"/>
  <c r="O798" i="1"/>
  <c r="P798" i="1" s="1"/>
  <c r="Q798" i="1" s="1"/>
  <c r="S798" i="1" s="1"/>
  <c r="J798" i="1" s="1"/>
  <c r="H797" i="1"/>
  <c r="I797" i="1" s="1"/>
  <c r="F797" i="1"/>
  <c r="G797" i="1" s="1"/>
  <c r="H796" i="1"/>
  <c r="O796" i="1" s="1"/>
  <c r="F796" i="1"/>
  <c r="G796" i="1" s="1"/>
  <c r="H795" i="1"/>
  <c r="I795" i="1" s="1"/>
  <c r="F795" i="1"/>
  <c r="G795" i="1" s="1"/>
  <c r="H794" i="1"/>
  <c r="O794" i="1" s="1"/>
  <c r="F794" i="1"/>
  <c r="G794" i="1" s="1"/>
  <c r="H793" i="1"/>
  <c r="I793" i="1" s="1"/>
  <c r="F793" i="1"/>
  <c r="G793" i="1" s="1"/>
  <c r="H792" i="1"/>
  <c r="O792" i="1" s="1"/>
  <c r="F792" i="1"/>
  <c r="G792" i="1" s="1"/>
  <c r="H791" i="1"/>
  <c r="I791" i="1" s="1"/>
  <c r="F791" i="1"/>
  <c r="G791" i="1" s="1"/>
  <c r="H790" i="1"/>
  <c r="O790" i="1" s="1"/>
  <c r="F790" i="1"/>
  <c r="G790" i="1" s="1"/>
  <c r="H789" i="1"/>
  <c r="I789" i="1" s="1"/>
  <c r="F789" i="1"/>
  <c r="G789" i="1" s="1"/>
  <c r="H788" i="1"/>
  <c r="O788" i="1" s="1"/>
  <c r="F788" i="1"/>
  <c r="G788" i="1" s="1"/>
  <c r="H787" i="1"/>
  <c r="I787" i="1" s="1"/>
  <c r="F787" i="1"/>
  <c r="G787" i="1" s="1"/>
  <c r="H786" i="1"/>
  <c r="O786" i="1" s="1"/>
  <c r="F786" i="1"/>
  <c r="G786" i="1" s="1"/>
  <c r="H785" i="1"/>
  <c r="I785" i="1" s="1"/>
  <c r="F785" i="1"/>
  <c r="G785" i="1" s="1"/>
  <c r="H784" i="1"/>
  <c r="O784" i="1" s="1"/>
  <c r="F784" i="1"/>
  <c r="G784" i="1" s="1"/>
  <c r="H783" i="1"/>
  <c r="I783" i="1" s="1"/>
  <c r="F783" i="1"/>
  <c r="G783" i="1" s="1"/>
  <c r="H782" i="1"/>
  <c r="O782" i="1" s="1"/>
  <c r="F782" i="1"/>
  <c r="G782" i="1" s="1"/>
  <c r="H781" i="1"/>
  <c r="I781" i="1" s="1"/>
  <c r="F781" i="1"/>
  <c r="G781" i="1" s="1"/>
  <c r="H780" i="1"/>
  <c r="O780" i="1" s="1"/>
  <c r="F780" i="1"/>
  <c r="G780" i="1" s="1"/>
  <c r="H779" i="1"/>
  <c r="I779" i="1" s="1"/>
  <c r="F779" i="1"/>
  <c r="G779" i="1" s="1"/>
  <c r="H778" i="1"/>
  <c r="O778" i="1" s="1"/>
  <c r="F778" i="1"/>
  <c r="G778" i="1" s="1"/>
  <c r="O777" i="1"/>
  <c r="P777" i="1" s="1"/>
  <c r="Q777" i="1" s="1"/>
  <c r="S777" i="1" s="1"/>
  <c r="J777" i="1" s="1"/>
  <c r="H776" i="1"/>
  <c r="O776" i="1" s="1"/>
  <c r="F776" i="1"/>
  <c r="G776" i="1" s="1"/>
  <c r="H775" i="1"/>
  <c r="I775" i="1" s="1"/>
  <c r="F775" i="1"/>
  <c r="G775" i="1" s="1"/>
  <c r="H774" i="1"/>
  <c r="O774" i="1" s="1"/>
  <c r="F774" i="1"/>
  <c r="G774" i="1" s="1"/>
  <c r="H773" i="1"/>
  <c r="I773" i="1" s="1"/>
  <c r="F773" i="1"/>
  <c r="G773" i="1" s="1"/>
  <c r="O772" i="1"/>
  <c r="P772" i="1" s="1"/>
  <c r="Q772" i="1" s="1"/>
  <c r="S772" i="1" s="1"/>
  <c r="J772" i="1" s="1"/>
  <c r="O771" i="1"/>
  <c r="P771" i="1" s="1"/>
  <c r="Q771" i="1" s="1"/>
  <c r="S771" i="1" s="1"/>
  <c r="J771" i="1" s="1"/>
  <c r="F771" i="1"/>
  <c r="G771" i="1" s="1"/>
  <c r="H770" i="1"/>
  <c r="O770" i="1" s="1"/>
  <c r="F770" i="1"/>
  <c r="G770" i="1" s="1"/>
  <c r="H769" i="1"/>
  <c r="I769" i="1" s="1"/>
  <c r="F769" i="1"/>
  <c r="G769" i="1" s="1"/>
  <c r="H768" i="1"/>
  <c r="O768" i="1" s="1"/>
  <c r="F768" i="1"/>
  <c r="G768" i="1" s="1"/>
  <c r="H767" i="1"/>
  <c r="I767" i="1" s="1"/>
  <c r="F767" i="1"/>
  <c r="G767" i="1" s="1"/>
  <c r="H766" i="1"/>
  <c r="O766" i="1" s="1"/>
  <c r="F766" i="1"/>
  <c r="G766" i="1" s="1"/>
  <c r="H765" i="1"/>
  <c r="I765" i="1" s="1"/>
  <c r="F765" i="1"/>
  <c r="G765" i="1" s="1"/>
  <c r="H764" i="1"/>
  <c r="O764" i="1" s="1"/>
  <c r="F764" i="1"/>
  <c r="G764" i="1" s="1"/>
  <c r="H763" i="1"/>
  <c r="I763" i="1" s="1"/>
  <c r="F763" i="1"/>
  <c r="G763" i="1" s="1"/>
  <c r="H762" i="1"/>
  <c r="O762" i="1" s="1"/>
  <c r="H761" i="1"/>
  <c r="I761" i="1" s="1"/>
  <c r="F761" i="1"/>
  <c r="G761" i="1" s="1"/>
  <c r="H760" i="1"/>
  <c r="O760" i="1" s="1"/>
  <c r="F760" i="1"/>
  <c r="G760" i="1" s="1"/>
  <c r="H759" i="1"/>
  <c r="I759" i="1" s="1"/>
  <c r="F759" i="1"/>
  <c r="G759" i="1" s="1"/>
  <c r="H758" i="1"/>
  <c r="O758" i="1" s="1"/>
  <c r="F758" i="1"/>
  <c r="G758" i="1" s="1"/>
  <c r="H757" i="1"/>
  <c r="O757" i="1" s="1"/>
  <c r="F757" i="1"/>
  <c r="G757" i="1" s="1"/>
  <c r="H756" i="1"/>
  <c r="O756" i="1" s="1"/>
  <c r="F756" i="1"/>
  <c r="G756" i="1" s="1"/>
  <c r="H755" i="1"/>
  <c r="O755" i="1" s="1"/>
  <c r="F755" i="1"/>
  <c r="G755" i="1" s="1"/>
  <c r="H754" i="1"/>
  <c r="O754" i="1" s="1"/>
  <c r="F754" i="1"/>
  <c r="G754" i="1" s="1"/>
  <c r="I753" i="1"/>
  <c r="H753" i="1"/>
  <c r="O753" i="1" s="1"/>
  <c r="G753" i="1"/>
  <c r="F753" i="1"/>
  <c r="H752" i="1"/>
  <c r="O752" i="1" s="1"/>
  <c r="F752" i="1"/>
  <c r="G752" i="1" s="1"/>
  <c r="I751" i="1"/>
  <c r="H751" i="1"/>
  <c r="O751" i="1" s="1"/>
  <c r="F751" i="1"/>
  <c r="G751" i="1" s="1"/>
  <c r="H750" i="1"/>
  <c r="O750" i="1" s="1"/>
  <c r="G750" i="1"/>
  <c r="H749" i="1"/>
  <c r="O749" i="1" s="1"/>
  <c r="F749" i="1"/>
  <c r="G749" i="1" s="1"/>
  <c r="H748" i="1"/>
  <c r="O748" i="1" s="1"/>
  <c r="F748" i="1"/>
  <c r="G748" i="1" s="1"/>
  <c r="H747" i="1"/>
  <c r="O747" i="1" s="1"/>
  <c r="F747" i="1"/>
  <c r="G747" i="1" s="1"/>
  <c r="O746" i="1"/>
  <c r="P746" i="1" s="1"/>
  <c r="Q746" i="1" s="1"/>
  <c r="S746" i="1" s="1"/>
  <c r="J746" i="1" s="1"/>
  <c r="I746" i="1"/>
  <c r="F746" i="1"/>
  <c r="G746" i="1" s="1"/>
  <c r="O745" i="1"/>
  <c r="P745" i="1" s="1"/>
  <c r="Q745" i="1" s="1"/>
  <c r="S745" i="1" s="1"/>
  <c r="J745" i="1" s="1"/>
  <c r="I745" i="1"/>
  <c r="F745" i="1"/>
  <c r="G745" i="1" s="1"/>
  <c r="O744" i="1"/>
  <c r="P744" i="1" s="1"/>
  <c r="Q744" i="1" s="1"/>
  <c r="S744" i="1" s="1"/>
  <c r="J744" i="1" s="1"/>
  <c r="I744" i="1"/>
  <c r="F744" i="1"/>
  <c r="G744" i="1" s="1"/>
  <c r="H743" i="1"/>
  <c r="O743" i="1" s="1"/>
  <c r="F743" i="1"/>
  <c r="G743" i="1" s="1"/>
  <c r="H742" i="1"/>
  <c r="O742" i="1" s="1"/>
  <c r="F742" i="1"/>
  <c r="G742" i="1" s="1"/>
  <c r="H741" i="1"/>
  <c r="O741" i="1" s="1"/>
  <c r="F741" i="1"/>
  <c r="G741" i="1" s="1"/>
  <c r="H740" i="1"/>
  <c r="O740" i="1" s="1"/>
  <c r="F740" i="1"/>
  <c r="G740" i="1" s="1"/>
  <c r="H739" i="1"/>
  <c r="O739" i="1" s="1"/>
  <c r="F739" i="1"/>
  <c r="G739" i="1" s="1"/>
  <c r="O738" i="1"/>
  <c r="P738" i="1" s="1"/>
  <c r="Q738" i="1" s="1"/>
  <c r="S738" i="1" s="1"/>
  <c r="J738" i="1" s="1"/>
  <c r="H737" i="1"/>
  <c r="O737" i="1" s="1"/>
  <c r="F737" i="1"/>
  <c r="G737" i="1" s="1"/>
  <c r="H736" i="1"/>
  <c r="O736" i="1" s="1"/>
  <c r="F736" i="1"/>
  <c r="G736" i="1" s="1"/>
  <c r="H735" i="1"/>
  <c r="O735" i="1" s="1"/>
  <c r="F735" i="1"/>
  <c r="G735" i="1" s="1"/>
  <c r="H734" i="1"/>
  <c r="O734" i="1" s="1"/>
  <c r="F734" i="1"/>
  <c r="G734" i="1" s="1"/>
  <c r="H733" i="1"/>
  <c r="I733" i="1" s="1"/>
  <c r="F733" i="1"/>
  <c r="G733" i="1" s="1"/>
  <c r="H732" i="1"/>
  <c r="O732" i="1" s="1"/>
  <c r="F732" i="1"/>
  <c r="G732" i="1" s="1"/>
  <c r="H731" i="1"/>
  <c r="I731" i="1" s="1"/>
  <c r="F731" i="1"/>
  <c r="G731" i="1" s="1"/>
  <c r="H730" i="1"/>
  <c r="O730" i="1" s="1"/>
  <c r="F730" i="1"/>
  <c r="G730" i="1" s="1"/>
  <c r="H729" i="1"/>
  <c r="O729" i="1" s="1"/>
  <c r="F729" i="1"/>
  <c r="G729" i="1" s="1"/>
  <c r="B729" i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H728" i="1"/>
  <c r="O728" i="1" s="1"/>
  <c r="F728" i="1"/>
  <c r="G728" i="1" s="1"/>
  <c r="H727" i="1"/>
  <c r="O727" i="1" s="1"/>
  <c r="F727" i="1"/>
  <c r="G727" i="1" s="1"/>
  <c r="H726" i="1"/>
  <c r="O726" i="1" s="1"/>
  <c r="H725" i="1"/>
  <c r="I725" i="1" s="1"/>
  <c r="F725" i="1"/>
  <c r="G725" i="1" s="1"/>
  <c r="H724" i="1"/>
  <c r="O724" i="1" s="1"/>
  <c r="F724" i="1"/>
  <c r="G724" i="1" s="1"/>
  <c r="O723" i="1"/>
  <c r="P723" i="1" s="1"/>
  <c r="Q723" i="1" s="1"/>
  <c r="S723" i="1" s="1"/>
  <c r="J723" i="1" s="1"/>
  <c r="H722" i="1"/>
  <c r="I722" i="1" s="1"/>
  <c r="F722" i="1"/>
  <c r="G722" i="1" s="1"/>
  <c r="O721" i="1"/>
  <c r="P721" i="1" s="1"/>
  <c r="Q721" i="1" s="1"/>
  <c r="S721" i="1" s="1"/>
  <c r="J721" i="1" s="1"/>
  <c r="H720" i="1"/>
  <c r="I720" i="1" s="1"/>
  <c r="F720" i="1"/>
  <c r="G720" i="1" s="1"/>
  <c r="H719" i="1"/>
  <c r="O719" i="1" s="1"/>
  <c r="F719" i="1"/>
  <c r="G719" i="1" s="1"/>
  <c r="H718" i="1"/>
  <c r="I718" i="1" s="1"/>
  <c r="F718" i="1"/>
  <c r="G718" i="1" s="1"/>
  <c r="H717" i="1"/>
  <c r="O717" i="1" s="1"/>
  <c r="F717" i="1"/>
  <c r="G717" i="1" s="1"/>
  <c r="H716" i="1"/>
  <c r="I716" i="1" s="1"/>
  <c r="F716" i="1"/>
  <c r="G716" i="1" s="1"/>
  <c r="H715" i="1"/>
  <c r="O715" i="1" s="1"/>
  <c r="F715" i="1"/>
  <c r="G715" i="1" s="1"/>
  <c r="H714" i="1"/>
  <c r="I714" i="1" s="1"/>
  <c r="F714" i="1"/>
  <c r="G714" i="1" s="1"/>
  <c r="H713" i="1"/>
  <c r="O713" i="1" s="1"/>
  <c r="F713" i="1"/>
  <c r="G713" i="1" s="1"/>
  <c r="H712" i="1"/>
  <c r="I712" i="1" s="1"/>
  <c r="F712" i="1"/>
  <c r="G712" i="1" s="1"/>
  <c r="H711" i="1"/>
  <c r="O711" i="1" s="1"/>
  <c r="F711" i="1"/>
  <c r="G711" i="1" s="1"/>
  <c r="H710" i="1"/>
  <c r="I710" i="1" s="1"/>
  <c r="F710" i="1"/>
  <c r="G710" i="1" s="1"/>
  <c r="H709" i="1"/>
  <c r="O709" i="1" s="1"/>
  <c r="F709" i="1"/>
  <c r="G709" i="1" s="1"/>
  <c r="O708" i="1"/>
  <c r="P708" i="1" s="1"/>
  <c r="Q708" i="1" s="1"/>
  <c r="S708" i="1" s="1"/>
  <c r="J708" i="1" s="1"/>
  <c r="H707" i="1"/>
  <c r="O707" i="1" s="1"/>
  <c r="F707" i="1"/>
  <c r="G707" i="1" s="1"/>
  <c r="H706" i="1"/>
  <c r="I706" i="1" s="1"/>
  <c r="F706" i="1"/>
  <c r="G706" i="1" s="1"/>
  <c r="H705" i="1"/>
  <c r="O705" i="1" s="1"/>
  <c r="F705" i="1"/>
  <c r="G705" i="1" s="1"/>
  <c r="H704" i="1"/>
  <c r="I704" i="1" s="1"/>
  <c r="F704" i="1"/>
  <c r="G704" i="1" s="1"/>
  <c r="H703" i="1"/>
  <c r="O703" i="1" s="1"/>
  <c r="F703" i="1"/>
  <c r="G703" i="1" s="1"/>
  <c r="H702" i="1"/>
  <c r="I702" i="1" s="1"/>
  <c r="F702" i="1"/>
  <c r="G702" i="1" s="1"/>
  <c r="H701" i="1"/>
  <c r="O701" i="1" s="1"/>
  <c r="F701" i="1"/>
  <c r="G701" i="1" s="1"/>
  <c r="O700" i="1"/>
  <c r="P700" i="1" s="1"/>
  <c r="Q700" i="1" s="1"/>
  <c r="S700" i="1" s="1"/>
  <c r="J700" i="1" s="1"/>
  <c r="H699" i="1"/>
  <c r="O699" i="1" s="1"/>
  <c r="H698" i="1"/>
  <c r="I698" i="1" s="1"/>
  <c r="F698" i="1"/>
  <c r="G698" i="1" s="1"/>
  <c r="H697" i="1"/>
  <c r="O697" i="1" s="1"/>
  <c r="F697" i="1"/>
  <c r="G697" i="1" s="1"/>
  <c r="H696" i="1"/>
  <c r="I696" i="1" s="1"/>
  <c r="F696" i="1"/>
  <c r="G696" i="1" s="1"/>
  <c r="H695" i="1"/>
  <c r="O695" i="1" s="1"/>
  <c r="F695" i="1"/>
  <c r="G695" i="1" s="1"/>
  <c r="H694" i="1"/>
  <c r="I694" i="1" s="1"/>
  <c r="F694" i="1"/>
  <c r="G694" i="1" s="1"/>
  <c r="H693" i="1"/>
  <c r="O693" i="1" s="1"/>
  <c r="F693" i="1"/>
  <c r="G693" i="1" s="1"/>
  <c r="H692" i="1"/>
  <c r="I692" i="1" s="1"/>
  <c r="F692" i="1"/>
  <c r="G692" i="1" s="1"/>
  <c r="H691" i="1"/>
  <c r="O691" i="1" s="1"/>
  <c r="F691" i="1"/>
  <c r="G691" i="1" s="1"/>
  <c r="H690" i="1"/>
  <c r="I690" i="1" s="1"/>
  <c r="F690" i="1"/>
  <c r="G690" i="1" s="1"/>
  <c r="H689" i="1"/>
  <c r="O689" i="1" s="1"/>
  <c r="F689" i="1"/>
  <c r="G689" i="1" s="1"/>
  <c r="B689" i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4" i="1" s="1"/>
  <c r="B725" i="1" s="1"/>
  <c r="B726" i="1" s="1"/>
  <c r="B727" i="1" s="1"/>
  <c r="B728" i="1" s="1"/>
  <c r="O688" i="1"/>
  <c r="P688" i="1" s="1"/>
  <c r="Q688" i="1" s="1"/>
  <c r="S688" i="1" s="1"/>
  <c r="J688" i="1" s="1"/>
  <c r="O687" i="1"/>
  <c r="P687" i="1" s="1"/>
  <c r="Q687" i="1" s="1"/>
  <c r="S687" i="1" s="1"/>
  <c r="J687" i="1" s="1"/>
  <c r="H686" i="1"/>
  <c r="I686" i="1" s="1"/>
  <c r="F686" i="1"/>
  <c r="G686" i="1" s="1"/>
  <c r="H685" i="1"/>
  <c r="O685" i="1" s="1"/>
  <c r="F685" i="1"/>
  <c r="G685" i="1" s="1"/>
  <c r="H684" i="1"/>
  <c r="I684" i="1" s="1"/>
  <c r="F684" i="1"/>
  <c r="G684" i="1" s="1"/>
  <c r="H683" i="1"/>
  <c r="O683" i="1" s="1"/>
  <c r="F683" i="1"/>
  <c r="G683" i="1" s="1"/>
  <c r="H682" i="1"/>
  <c r="I682" i="1" s="1"/>
  <c r="F682" i="1"/>
  <c r="G682" i="1" s="1"/>
  <c r="H681" i="1"/>
  <c r="O681" i="1" s="1"/>
  <c r="F681" i="1"/>
  <c r="G681" i="1" s="1"/>
  <c r="H680" i="1"/>
  <c r="I680" i="1" s="1"/>
  <c r="F680" i="1"/>
  <c r="G680" i="1" s="1"/>
  <c r="H679" i="1"/>
  <c r="O679" i="1" s="1"/>
  <c r="F679" i="1"/>
  <c r="G679" i="1" s="1"/>
  <c r="H678" i="1"/>
  <c r="I678" i="1" s="1"/>
  <c r="F678" i="1"/>
  <c r="G678" i="1" s="1"/>
  <c r="H677" i="1"/>
  <c r="O677" i="1" s="1"/>
  <c r="F677" i="1"/>
  <c r="G677" i="1" s="1"/>
  <c r="O676" i="1"/>
  <c r="P676" i="1" s="1"/>
  <c r="Q676" i="1" s="1"/>
  <c r="S676" i="1" s="1"/>
  <c r="J676" i="1" s="1"/>
  <c r="H675" i="1"/>
  <c r="I675" i="1" s="1"/>
  <c r="F675" i="1"/>
  <c r="G675" i="1" s="1"/>
  <c r="H674" i="1"/>
  <c r="O674" i="1" s="1"/>
  <c r="F674" i="1"/>
  <c r="G674" i="1" s="1"/>
  <c r="H673" i="1"/>
  <c r="I673" i="1" s="1"/>
  <c r="F673" i="1"/>
  <c r="G673" i="1" s="1"/>
  <c r="H672" i="1"/>
  <c r="O672" i="1" s="1"/>
  <c r="F672" i="1"/>
  <c r="G672" i="1" s="1"/>
  <c r="H671" i="1"/>
  <c r="I671" i="1" s="1"/>
  <c r="F671" i="1"/>
  <c r="G671" i="1" s="1"/>
  <c r="H670" i="1"/>
  <c r="O670" i="1" s="1"/>
  <c r="F670" i="1"/>
  <c r="G670" i="1" s="1"/>
  <c r="H669" i="1"/>
  <c r="I669" i="1" s="1"/>
  <c r="F669" i="1"/>
  <c r="G669" i="1" s="1"/>
  <c r="H668" i="1"/>
  <c r="O668" i="1" s="1"/>
  <c r="F668" i="1"/>
  <c r="G668" i="1" s="1"/>
  <c r="H667" i="1"/>
  <c r="I667" i="1" s="1"/>
  <c r="F667" i="1"/>
  <c r="G667" i="1" s="1"/>
  <c r="H666" i="1"/>
  <c r="O666" i="1" s="1"/>
  <c r="F666" i="1"/>
  <c r="G666" i="1" s="1"/>
  <c r="O665" i="1"/>
  <c r="P665" i="1" s="1"/>
  <c r="Q665" i="1" s="1"/>
  <c r="S665" i="1" s="1"/>
  <c r="J665" i="1" s="1"/>
  <c r="F665" i="1"/>
  <c r="G665" i="1" s="1"/>
  <c r="H664" i="1"/>
  <c r="O664" i="1" s="1"/>
  <c r="F664" i="1"/>
  <c r="G664" i="1" s="1"/>
  <c r="H663" i="1"/>
  <c r="I663" i="1" s="1"/>
  <c r="F663" i="1"/>
  <c r="G663" i="1" s="1"/>
  <c r="H662" i="1"/>
  <c r="O662" i="1" s="1"/>
  <c r="F662" i="1"/>
  <c r="G662" i="1" s="1"/>
  <c r="H661" i="1"/>
  <c r="I661" i="1" s="1"/>
  <c r="F661" i="1"/>
  <c r="G661" i="1" s="1"/>
  <c r="H660" i="1"/>
  <c r="O660" i="1" s="1"/>
  <c r="F660" i="1"/>
  <c r="G660" i="1" s="1"/>
  <c r="B660" i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O659" i="1"/>
  <c r="P659" i="1" s="1"/>
  <c r="Q659" i="1" s="1"/>
  <c r="S659" i="1" s="1"/>
  <c r="J659" i="1" s="1"/>
  <c r="I659" i="1"/>
  <c r="F659" i="1"/>
  <c r="G659" i="1" s="1"/>
  <c r="H658" i="1"/>
  <c r="O658" i="1" s="1"/>
  <c r="F658" i="1"/>
  <c r="G658" i="1" s="1"/>
  <c r="H657" i="1"/>
  <c r="I657" i="1" s="1"/>
  <c r="F657" i="1"/>
  <c r="G657" i="1" s="1"/>
  <c r="O656" i="1"/>
  <c r="P656" i="1" s="1"/>
  <c r="Q656" i="1" s="1"/>
  <c r="S656" i="1" s="1"/>
  <c r="J656" i="1" s="1"/>
  <c r="O655" i="1"/>
  <c r="P655" i="1" s="1"/>
  <c r="Q655" i="1" s="1"/>
  <c r="S655" i="1" s="1"/>
  <c r="J655" i="1" s="1"/>
  <c r="H654" i="1"/>
  <c r="O654" i="1" s="1"/>
  <c r="F654" i="1"/>
  <c r="G654" i="1" s="1"/>
  <c r="H653" i="1"/>
  <c r="I653" i="1" s="1"/>
  <c r="F653" i="1"/>
  <c r="G653" i="1" s="1"/>
  <c r="O652" i="1"/>
  <c r="P652" i="1" s="1"/>
  <c r="Q652" i="1" s="1"/>
  <c r="S652" i="1" s="1"/>
  <c r="J652" i="1" s="1"/>
  <c r="H651" i="1"/>
  <c r="I651" i="1" s="1"/>
  <c r="F651" i="1"/>
  <c r="G651" i="1" s="1"/>
  <c r="H650" i="1"/>
  <c r="O650" i="1" s="1"/>
  <c r="F650" i="1"/>
  <c r="G650" i="1" s="1"/>
  <c r="H649" i="1"/>
  <c r="I649" i="1" s="1"/>
  <c r="F649" i="1"/>
  <c r="G649" i="1" s="1"/>
  <c r="O648" i="1"/>
  <c r="P648" i="1" s="1"/>
  <c r="Q648" i="1" s="1"/>
  <c r="S648" i="1" s="1"/>
  <c r="J648" i="1" s="1"/>
  <c r="O647" i="1"/>
  <c r="P647" i="1" s="1"/>
  <c r="Q647" i="1" s="1"/>
  <c r="S647" i="1" s="1"/>
  <c r="J647" i="1" s="1"/>
  <c r="H646" i="1"/>
  <c r="O646" i="1" s="1"/>
  <c r="F646" i="1"/>
  <c r="G646" i="1" s="1"/>
  <c r="H645" i="1"/>
  <c r="I645" i="1" s="1"/>
  <c r="F645" i="1"/>
  <c r="G645" i="1" s="1"/>
  <c r="H644" i="1"/>
  <c r="O644" i="1" s="1"/>
  <c r="F644" i="1"/>
  <c r="G644" i="1" s="1"/>
  <c r="H643" i="1"/>
  <c r="I643" i="1" s="1"/>
  <c r="F643" i="1"/>
  <c r="G643" i="1" s="1"/>
  <c r="H642" i="1"/>
  <c r="O642" i="1" s="1"/>
  <c r="F642" i="1"/>
  <c r="G642" i="1" s="1"/>
  <c r="H641" i="1"/>
  <c r="I641" i="1" s="1"/>
  <c r="F641" i="1"/>
  <c r="G641" i="1" s="1"/>
  <c r="H640" i="1"/>
  <c r="O640" i="1" s="1"/>
  <c r="F640" i="1"/>
  <c r="G640" i="1" s="1"/>
  <c r="B640" i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H639" i="1"/>
  <c r="I639" i="1" s="1"/>
  <c r="F639" i="1"/>
  <c r="G639" i="1" s="1"/>
  <c r="O638" i="1"/>
  <c r="P638" i="1" s="1"/>
  <c r="Q638" i="1" s="1"/>
  <c r="S638" i="1" s="1"/>
  <c r="J638" i="1" s="1"/>
  <c r="H637" i="1"/>
  <c r="O637" i="1" s="1"/>
  <c r="F637" i="1"/>
  <c r="G637" i="1" s="1"/>
  <c r="H636" i="1"/>
  <c r="O636" i="1" s="1"/>
  <c r="F636" i="1"/>
  <c r="G636" i="1" s="1"/>
  <c r="H635" i="1"/>
  <c r="O635" i="1" s="1"/>
  <c r="F635" i="1"/>
  <c r="G635" i="1" s="1"/>
  <c r="H634" i="1"/>
  <c r="O634" i="1" s="1"/>
  <c r="F634" i="1"/>
  <c r="G634" i="1" s="1"/>
  <c r="O633" i="1"/>
  <c r="P633" i="1" s="1"/>
  <c r="Q633" i="1" s="1"/>
  <c r="S633" i="1" s="1"/>
  <c r="J633" i="1" s="1"/>
  <c r="I633" i="1"/>
  <c r="F633" i="1"/>
  <c r="G633" i="1" s="1"/>
  <c r="H632" i="1"/>
  <c r="O632" i="1" s="1"/>
  <c r="F632" i="1"/>
  <c r="G632" i="1" s="1"/>
  <c r="H631" i="1"/>
  <c r="I631" i="1" s="1"/>
  <c r="F631" i="1"/>
  <c r="G631" i="1" s="1"/>
  <c r="H630" i="1"/>
  <c r="O630" i="1" s="1"/>
  <c r="F630" i="1"/>
  <c r="G630" i="1" s="1"/>
  <c r="H629" i="1"/>
  <c r="I629" i="1" s="1"/>
  <c r="F629" i="1"/>
  <c r="G629" i="1" s="1"/>
  <c r="H628" i="1"/>
  <c r="O628" i="1" s="1"/>
  <c r="F628" i="1"/>
  <c r="G628" i="1" s="1"/>
  <c r="H627" i="1"/>
  <c r="I627" i="1" s="1"/>
  <c r="F627" i="1"/>
  <c r="G627" i="1" s="1"/>
  <c r="H626" i="1"/>
  <c r="O626" i="1" s="1"/>
  <c r="F626" i="1"/>
  <c r="G626" i="1" s="1"/>
  <c r="H625" i="1"/>
  <c r="I625" i="1" s="1"/>
  <c r="F625" i="1"/>
  <c r="G625" i="1" s="1"/>
  <c r="H624" i="1"/>
  <c r="O624" i="1" s="1"/>
  <c r="F624" i="1"/>
  <c r="G624" i="1" s="1"/>
  <c r="H623" i="1"/>
  <c r="I623" i="1" s="1"/>
  <c r="F623" i="1"/>
  <c r="G623" i="1" s="1"/>
  <c r="H622" i="1"/>
  <c r="O622" i="1" s="1"/>
  <c r="F622" i="1"/>
  <c r="G622" i="1" s="1"/>
  <c r="H621" i="1"/>
  <c r="I621" i="1" s="1"/>
  <c r="F621" i="1"/>
  <c r="G621" i="1" s="1"/>
  <c r="H620" i="1"/>
  <c r="O620" i="1" s="1"/>
  <c r="F620" i="1"/>
  <c r="G620" i="1" s="1"/>
  <c r="O619" i="1"/>
  <c r="P619" i="1" s="1"/>
  <c r="Q619" i="1" s="1"/>
  <c r="S619" i="1" s="1"/>
  <c r="J619" i="1" s="1"/>
  <c r="O618" i="1"/>
  <c r="P618" i="1" s="1"/>
  <c r="Q618" i="1" s="1"/>
  <c r="S618" i="1" s="1"/>
  <c r="J618" i="1" s="1"/>
  <c r="O617" i="1"/>
  <c r="P617" i="1" s="1"/>
  <c r="Q617" i="1" s="1"/>
  <c r="S617" i="1" s="1"/>
  <c r="J617" i="1" s="1"/>
  <c r="O616" i="1"/>
  <c r="P616" i="1" s="1"/>
  <c r="Q616" i="1" s="1"/>
  <c r="S616" i="1" s="1"/>
  <c r="J616" i="1" s="1"/>
  <c r="I616" i="1"/>
  <c r="G616" i="1"/>
  <c r="O615" i="1"/>
  <c r="P615" i="1" s="1"/>
  <c r="Q615" i="1" s="1"/>
  <c r="S615" i="1" s="1"/>
  <c r="J615" i="1" s="1"/>
  <c r="O614" i="1"/>
  <c r="P614" i="1" s="1"/>
  <c r="Q614" i="1" s="1"/>
  <c r="S614" i="1" s="1"/>
  <c r="J614" i="1" s="1"/>
  <c r="O613" i="1"/>
  <c r="P613" i="1" s="1"/>
  <c r="Q613" i="1" s="1"/>
  <c r="S613" i="1" s="1"/>
  <c r="J613" i="1" s="1"/>
  <c r="O612" i="1"/>
  <c r="P612" i="1" s="1"/>
  <c r="Q612" i="1" s="1"/>
  <c r="S612" i="1" s="1"/>
  <c r="J612" i="1" s="1"/>
  <c r="I612" i="1"/>
  <c r="G612" i="1"/>
  <c r="O611" i="1"/>
  <c r="P611" i="1" s="1"/>
  <c r="Q611" i="1" s="1"/>
  <c r="S611" i="1" s="1"/>
  <c r="J611" i="1" s="1"/>
  <c r="O610" i="1"/>
  <c r="P610" i="1" s="1"/>
  <c r="Q610" i="1" s="1"/>
  <c r="S610" i="1" s="1"/>
  <c r="J610" i="1" s="1"/>
  <c r="O609" i="1"/>
  <c r="P609" i="1" s="1"/>
  <c r="Q609" i="1" s="1"/>
  <c r="S609" i="1" s="1"/>
  <c r="J609" i="1" s="1"/>
  <c r="I609" i="1"/>
  <c r="G609" i="1"/>
  <c r="O608" i="1"/>
  <c r="P608" i="1" s="1"/>
  <c r="Q608" i="1" s="1"/>
  <c r="S608" i="1" s="1"/>
  <c r="J608" i="1" s="1"/>
  <c r="I608" i="1"/>
  <c r="G608" i="1"/>
  <c r="B608" i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8" i="1" s="1"/>
  <c r="H607" i="1"/>
  <c r="I607" i="1" s="1"/>
  <c r="F607" i="1"/>
  <c r="G607" i="1" s="1"/>
  <c r="O606" i="1"/>
  <c r="P606" i="1" s="1"/>
  <c r="Q606" i="1" s="1"/>
  <c r="S606" i="1" s="1"/>
  <c r="J606" i="1" s="1"/>
  <c r="I606" i="1"/>
  <c r="G606" i="1"/>
  <c r="H605" i="1"/>
  <c r="I605" i="1" s="1"/>
  <c r="F605" i="1"/>
  <c r="G605" i="1" s="1"/>
  <c r="H604" i="1"/>
  <c r="I604" i="1" s="1"/>
  <c r="F604" i="1"/>
  <c r="G604" i="1" s="1"/>
  <c r="O603" i="1"/>
  <c r="P603" i="1" s="1"/>
  <c r="Q603" i="1" s="1"/>
  <c r="S603" i="1" s="1"/>
  <c r="J603" i="1" s="1"/>
  <c r="I603" i="1"/>
  <c r="G603" i="1"/>
  <c r="H602" i="1"/>
  <c r="I602" i="1" s="1"/>
  <c r="H601" i="1"/>
  <c r="I601" i="1" s="1"/>
  <c r="F601" i="1"/>
  <c r="G601" i="1" s="1"/>
  <c r="O600" i="1"/>
  <c r="P600" i="1" s="1"/>
  <c r="Q600" i="1" s="1"/>
  <c r="S600" i="1" s="1"/>
  <c r="J600" i="1" s="1"/>
  <c r="I600" i="1"/>
  <c r="G600" i="1"/>
  <c r="O599" i="1"/>
  <c r="P599" i="1" s="1"/>
  <c r="Q599" i="1" s="1"/>
  <c r="S599" i="1" s="1"/>
  <c r="J599" i="1" s="1"/>
  <c r="O598" i="1"/>
  <c r="P598" i="1" s="1"/>
  <c r="Q598" i="1" s="1"/>
  <c r="S598" i="1" s="1"/>
  <c r="J598" i="1" s="1"/>
  <c r="I598" i="1"/>
  <c r="G598" i="1"/>
  <c r="O597" i="1"/>
  <c r="P597" i="1" s="1"/>
  <c r="Q597" i="1" s="1"/>
  <c r="S597" i="1" s="1"/>
  <c r="J597" i="1" s="1"/>
  <c r="I597" i="1"/>
  <c r="G597" i="1"/>
  <c r="O596" i="1"/>
  <c r="P596" i="1" s="1"/>
  <c r="Q596" i="1" s="1"/>
  <c r="S596" i="1" s="1"/>
  <c r="J596" i="1" s="1"/>
  <c r="H595" i="1"/>
  <c r="I595" i="1" s="1"/>
  <c r="F595" i="1"/>
  <c r="G595" i="1" s="1"/>
  <c r="O594" i="1"/>
  <c r="P594" i="1" s="1"/>
  <c r="Q594" i="1" s="1"/>
  <c r="S594" i="1" s="1"/>
  <c r="J594" i="1" s="1"/>
  <c r="O593" i="1"/>
  <c r="P593" i="1" s="1"/>
  <c r="Q593" i="1" s="1"/>
  <c r="S593" i="1" s="1"/>
  <c r="J593" i="1" s="1"/>
  <c r="O592" i="1"/>
  <c r="P592" i="1" s="1"/>
  <c r="Q592" i="1" s="1"/>
  <c r="S592" i="1" s="1"/>
  <c r="J592" i="1" s="1"/>
  <c r="O591" i="1"/>
  <c r="P591" i="1" s="1"/>
  <c r="Q591" i="1" s="1"/>
  <c r="S591" i="1" s="1"/>
  <c r="J591" i="1" s="1"/>
  <c r="B591" i="1"/>
  <c r="B592" i="1" s="1"/>
  <c r="B593" i="1" s="1"/>
  <c r="B594" i="1" s="1"/>
  <c r="H590" i="1"/>
  <c r="I590" i="1" s="1"/>
  <c r="F590" i="1"/>
  <c r="G590" i="1" s="1"/>
  <c r="O589" i="1"/>
  <c r="P589" i="1" s="1"/>
  <c r="Q589" i="1" s="1"/>
  <c r="S589" i="1" s="1"/>
  <c r="J589" i="1" s="1"/>
  <c r="I589" i="1"/>
  <c r="F589" i="1"/>
  <c r="G589" i="1" s="1"/>
  <c r="H588" i="1"/>
  <c r="O588" i="1" s="1"/>
  <c r="F588" i="1"/>
  <c r="G588" i="1" s="1"/>
  <c r="O587" i="1"/>
  <c r="P587" i="1" s="1"/>
  <c r="Q587" i="1" s="1"/>
  <c r="S587" i="1" s="1"/>
  <c r="J587" i="1" s="1"/>
  <c r="I587" i="1"/>
  <c r="F587" i="1"/>
  <c r="G587" i="1" s="1"/>
  <c r="H586" i="1"/>
  <c r="I586" i="1" s="1"/>
  <c r="F586" i="1"/>
  <c r="G586" i="1" s="1"/>
  <c r="H585" i="1"/>
  <c r="O585" i="1" s="1"/>
  <c r="F585" i="1"/>
  <c r="G585" i="1" s="1"/>
  <c r="H584" i="1"/>
  <c r="O584" i="1" s="1"/>
  <c r="F584" i="1"/>
  <c r="G584" i="1" s="1"/>
  <c r="H583" i="1"/>
  <c r="O583" i="1" s="1"/>
  <c r="F583" i="1"/>
  <c r="G583" i="1" s="1"/>
  <c r="H582" i="1"/>
  <c r="O582" i="1" s="1"/>
  <c r="F582" i="1"/>
  <c r="G582" i="1" s="1"/>
  <c r="H581" i="1"/>
  <c r="O581" i="1" s="1"/>
  <c r="F581" i="1"/>
  <c r="G581" i="1" s="1"/>
  <c r="H580" i="1"/>
  <c r="O580" i="1" s="1"/>
  <c r="F580" i="1"/>
  <c r="G580" i="1" s="1"/>
  <c r="H579" i="1"/>
  <c r="O579" i="1" s="1"/>
  <c r="F579" i="1"/>
  <c r="G579" i="1" s="1"/>
  <c r="H578" i="1"/>
  <c r="O578" i="1" s="1"/>
  <c r="F578" i="1"/>
  <c r="G578" i="1" s="1"/>
  <c r="H577" i="1"/>
  <c r="O577" i="1" s="1"/>
  <c r="F577" i="1"/>
  <c r="G577" i="1" s="1"/>
  <c r="H576" i="1"/>
  <c r="O576" i="1" s="1"/>
  <c r="F576" i="1"/>
  <c r="G576" i="1" s="1"/>
  <c r="H575" i="1"/>
  <c r="O575" i="1" s="1"/>
  <c r="F575" i="1"/>
  <c r="G575" i="1" s="1"/>
  <c r="H574" i="1"/>
  <c r="O574" i="1" s="1"/>
  <c r="F574" i="1"/>
  <c r="G574" i="1" s="1"/>
  <c r="H573" i="1"/>
  <c r="O573" i="1" s="1"/>
  <c r="F573" i="1"/>
  <c r="G573" i="1" s="1"/>
  <c r="H572" i="1"/>
  <c r="O572" i="1" s="1"/>
  <c r="F572" i="1"/>
  <c r="G572" i="1" s="1"/>
  <c r="H571" i="1"/>
  <c r="O571" i="1" s="1"/>
  <c r="F571" i="1"/>
  <c r="G571" i="1" s="1"/>
  <c r="I570" i="1"/>
  <c r="H570" i="1"/>
  <c r="O570" i="1" s="1"/>
  <c r="F570" i="1"/>
  <c r="G570" i="1" s="1"/>
  <c r="O569" i="1"/>
  <c r="P569" i="1" s="1"/>
  <c r="Q569" i="1" s="1"/>
  <c r="S569" i="1" s="1"/>
  <c r="J569" i="1" s="1"/>
  <c r="F569" i="1"/>
  <c r="G569" i="1" s="1"/>
  <c r="H568" i="1"/>
  <c r="O568" i="1" s="1"/>
  <c r="F568" i="1"/>
  <c r="G568" i="1" s="1"/>
  <c r="H567" i="1"/>
  <c r="O567" i="1" s="1"/>
  <c r="F567" i="1"/>
  <c r="G567" i="1" s="1"/>
  <c r="H566" i="1"/>
  <c r="O566" i="1" s="1"/>
  <c r="F566" i="1"/>
  <c r="G566" i="1" s="1"/>
  <c r="O565" i="1"/>
  <c r="P565" i="1" s="1"/>
  <c r="Q565" i="1" s="1"/>
  <c r="S565" i="1" s="1"/>
  <c r="J565" i="1" s="1"/>
  <c r="F565" i="1"/>
  <c r="G565" i="1" s="1"/>
  <c r="H564" i="1"/>
  <c r="O564" i="1" s="1"/>
  <c r="F564" i="1"/>
  <c r="G564" i="1" s="1"/>
  <c r="H563" i="1"/>
  <c r="O563" i="1" s="1"/>
  <c r="F563" i="1"/>
  <c r="G563" i="1" s="1"/>
  <c r="H562" i="1"/>
  <c r="O562" i="1" s="1"/>
  <c r="F562" i="1"/>
  <c r="G562" i="1" s="1"/>
  <c r="H561" i="1"/>
  <c r="O561" i="1" s="1"/>
  <c r="F561" i="1"/>
  <c r="G561" i="1" s="1"/>
  <c r="H560" i="1"/>
  <c r="O560" i="1" s="1"/>
  <c r="F560" i="1"/>
  <c r="G560" i="1" s="1"/>
  <c r="H559" i="1"/>
  <c r="O559" i="1" s="1"/>
  <c r="F559" i="1"/>
  <c r="G559" i="1" s="1"/>
  <c r="H558" i="1"/>
  <c r="O558" i="1" s="1"/>
  <c r="F558" i="1"/>
  <c r="G558" i="1" s="1"/>
  <c r="H557" i="1"/>
  <c r="O557" i="1" s="1"/>
  <c r="F557" i="1"/>
  <c r="G557" i="1" s="1"/>
  <c r="H556" i="1"/>
  <c r="O556" i="1" s="1"/>
  <c r="F556" i="1"/>
  <c r="G556" i="1" s="1"/>
  <c r="P555" i="1"/>
  <c r="Q555" i="1" s="1"/>
  <c r="S555" i="1" s="1"/>
  <c r="J555" i="1" s="1"/>
  <c r="O555" i="1"/>
  <c r="I555" i="1"/>
  <c r="F555" i="1"/>
  <c r="G555" i="1" s="1"/>
  <c r="I554" i="1"/>
  <c r="H554" i="1"/>
  <c r="O554" i="1" s="1"/>
  <c r="G554" i="1"/>
  <c r="F554" i="1"/>
  <c r="H553" i="1"/>
  <c r="O553" i="1" s="1"/>
  <c r="F553" i="1"/>
  <c r="G553" i="1" s="1"/>
  <c r="H552" i="1"/>
  <c r="I552" i="1" s="1"/>
  <c r="F552" i="1"/>
  <c r="G552" i="1" s="1"/>
  <c r="H551" i="1"/>
  <c r="O551" i="1" s="1"/>
  <c r="F551" i="1"/>
  <c r="G551" i="1" s="1"/>
  <c r="H550" i="1"/>
  <c r="I550" i="1" s="1"/>
  <c r="F550" i="1"/>
  <c r="G550" i="1" s="1"/>
  <c r="H549" i="1"/>
  <c r="O549" i="1" s="1"/>
  <c r="F549" i="1"/>
  <c r="G549" i="1" s="1"/>
  <c r="H548" i="1"/>
  <c r="I548" i="1" s="1"/>
  <c r="F548" i="1"/>
  <c r="G548" i="1" s="1"/>
  <c r="I547" i="1"/>
  <c r="H547" i="1"/>
  <c r="O547" i="1" s="1"/>
  <c r="F547" i="1"/>
  <c r="G547" i="1" s="1"/>
  <c r="H546" i="1"/>
  <c r="I546" i="1" s="1"/>
  <c r="F546" i="1"/>
  <c r="G546" i="1" s="1"/>
  <c r="H545" i="1"/>
  <c r="O545" i="1" s="1"/>
  <c r="F545" i="1"/>
  <c r="G545" i="1" s="1"/>
  <c r="H544" i="1"/>
  <c r="I544" i="1" s="1"/>
  <c r="F544" i="1"/>
  <c r="G544" i="1" s="1"/>
  <c r="H543" i="1"/>
  <c r="O543" i="1" s="1"/>
  <c r="F543" i="1"/>
  <c r="G543" i="1" s="1"/>
  <c r="H542" i="1"/>
  <c r="I542" i="1" s="1"/>
  <c r="F542" i="1"/>
  <c r="G542" i="1" s="1"/>
  <c r="H541" i="1"/>
  <c r="O541" i="1" s="1"/>
  <c r="F541" i="1"/>
  <c r="G541" i="1" s="1"/>
  <c r="O540" i="1"/>
  <c r="P540" i="1" s="1"/>
  <c r="Q540" i="1" s="1"/>
  <c r="S540" i="1" s="1"/>
  <c r="J540" i="1" s="1"/>
  <c r="O539" i="1"/>
  <c r="P539" i="1" s="1"/>
  <c r="Q539" i="1" s="1"/>
  <c r="S539" i="1" s="1"/>
  <c r="J539" i="1" s="1"/>
  <c r="O538" i="1"/>
  <c r="P538" i="1" s="1"/>
  <c r="Q538" i="1" s="1"/>
  <c r="S538" i="1" s="1"/>
  <c r="J538" i="1" s="1"/>
  <c r="O537" i="1"/>
  <c r="P537" i="1" s="1"/>
  <c r="Q537" i="1" s="1"/>
  <c r="S537" i="1" s="1"/>
  <c r="J537" i="1" s="1"/>
  <c r="H536" i="1"/>
  <c r="I536" i="1" s="1"/>
  <c r="F536" i="1"/>
  <c r="G536" i="1" s="1"/>
  <c r="H535" i="1"/>
  <c r="O535" i="1" s="1"/>
  <c r="F535" i="1"/>
  <c r="G535" i="1" s="1"/>
  <c r="H534" i="1"/>
  <c r="I534" i="1" s="1"/>
  <c r="F534" i="1"/>
  <c r="G534" i="1" s="1"/>
  <c r="H533" i="1"/>
  <c r="O533" i="1" s="1"/>
  <c r="F533" i="1"/>
  <c r="G533" i="1" s="1"/>
  <c r="H532" i="1"/>
  <c r="I532" i="1" s="1"/>
  <c r="F532" i="1"/>
  <c r="G532" i="1" s="1"/>
  <c r="H531" i="1"/>
  <c r="O531" i="1" s="1"/>
  <c r="F531" i="1"/>
  <c r="G531" i="1" s="1"/>
  <c r="H530" i="1"/>
  <c r="I530" i="1" s="1"/>
  <c r="F530" i="1"/>
  <c r="G530" i="1" s="1"/>
  <c r="I529" i="1"/>
  <c r="H529" i="1"/>
  <c r="O529" i="1" s="1"/>
  <c r="F529" i="1"/>
  <c r="G529" i="1" s="1"/>
  <c r="H528" i="1"/>
  <c r="I528" i="1" s="1"/>
  <c r="F528" i="1"/>
  <c r="G528" i="1" s="1"/>
  <c r="H527" i="1"/>
  <c r="O527" i="1" s="1"/>
  <c r="F527" i="1"/>
  <c r="G527" i="1" s="1"/>
  <c r="H526" i="1"/>
  <c r="I526" i="1" s="1"/>
  <c r="F526" i="1"/>
  <c r="G526" i="1" s="1"/>
  <c r="H525" i="1"/>
  <c r="O525" i="1" s="1"/>
  <c r="F525" i="1"/>
  <c r="G525" i="1" s="1"/>
  <c r="O524" i="1"/>
  <c r="P524" i="1" s="1"/>
  <c r="Q524" i="1" s="1"/>
  <c r="S524" i="1" s="1"/>
  <c r="J524" i="1" s="1"/>
  <c r="I524" i="1"/>
  <c r="F524" i="1"/>
  <c r="G524" i="1" s="1"/>
  <c r="H523" i="1"/>
  <c r="I523" i="1" s="1"/>
  <c r="F523" i="1"/>
  <c r="G523" i="1" s="1"/>
  <c r="H522" i="1"/>
  <c r="O522" i="1" s="1"/>
  <c r="F522" i="1"/>
  <c r="G522" i="1" s="1"/>
  <c r="H521" i="1"/>
  <c r="O521" i="1" s="1"/>
  <c r="F521" i="1"/>
  <c r="G521" i="1" s="1"/>
  <c r="O520" i="1"/>
  <c r="P520" i="1" s="1"/>
  <c r="Q520" i="1" s="1"/>
  <c r="S520" i="1" s="1"/>
  <c r="J520" i="1" s="1"/>
  <c r="H519" i="1"/>
  <c r="O519" i="1" s="1"/>
  <c r="F519" i="1"/>
  <c r="G519" i="1" s="1"/>
  <c r="O518" i="1"/>
  <c r="P518" i="1" s="1"/>
  <c r="Q518" i="1" s="1"/>
  <c r="S518" i="1" s="1"/>
  <c r="J518" i="1" s="1"/>
  <c r="I518" i="1"/>
  <c r="F518" i="1"/>
  <c r="G518" i="1" s="1"/>
  <c r="H517" i="1"/>
  <c r="O517" i="1" s="1"/>
  <c r="F517" i="1"/>
  <c r="G517" i="1" s="1"/>
  <c r="H516" i="1"/>
  <c r="I516" i="1" s="1"/>
  <c r="F516" i="1"/>
  <c r="G516" i="1" s="1"/>
  <c r="H515" i="1"/>
  <c r="O515" i="1" s="1"/>
  <c r="F515" i="1"/>
  <c r="G515" i="1" s="1"/>
  <c r="H514" i="1"/>
  <c r="I514" i="1" s="1"/>
  <c r="F514" i="1"/>
  <c r="G514" i="1" s="1"/>
  <c r="H513" i="1"/>
  <c r="O513" i="1" s="1"/>
  <c r="F513" i="1"/>
  <c r="G513" i="1" s="1"/>
  <c r="H512" i="1"/>
  <c r="I512" i="1" s="1"/>
  <c r="F512" i="1"/>
  <c r="G512" i="1" s="1"/>
  <c r="H511" i="1"/>
  <c r="O511" i="1" s="1"/>
  <c r="F511" i="1"/>
  <c r="G511" i="1" s="1"/>
  <c r="H510" i="1"/>
  <c r="I510" i="1" s="1"/>
  <c r="F510" i="1"/>
  <c r="G510" i="1" s="1"/>
  <c r="H509" i="1"/>
  <c r="O509" i="1" s="1"/>
  <c r="F509" i="1"/>
  <c r="G509" i="1" s="1"/>
  <c r="B509" i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H508" i="1"/>
  <c r="I508" i="1" s="1"/>
  <c r="F508" i="1"/>
  <c r="G508" i="1" s="1"/>
  <c r="H507" i="1"/>
  <c r="I507" i="1" s="1"/>
  <c r="F507" i="1"/>
  <c r="G507" i="1" s="1"/>
  <c r="H506" i="1"/>
  <c r="I506" i="1" s="1"/>
  <c r="F506" i="1"/>
  <c r="G506" i="1" s="1"/>
  <c r="H505" i="1"/>
  <c r="I505" i="1" s="1"/>
  <c r="F505" i="1"/>
  <c r="G505" i="1" s="1"/>
  <c r="H504" i="1"/>
  <c r="I504" i="1" s="1"/>
  <c r="F504" i="1"/>
  <c r="G504" i="1" s="1"/>
  <c r="H503" i="1"/>
  <c r="I503" i="1" s="1"/>
  <c r="F503" i="1"/>
  <c r="G503" i="1" s="1"/>
  <c r="H502" i="1"/>
  <c r="I502" i="1" s="1"/>
  <c r="F502" i="1"/>
  <c r="G502" i="1" s="1"/>
  <c r="H501" i="1"/>
  <c r="I501" i="1" s="1"/>
  <c r="F501" i="1"/>
  <c r="G501" i="1" s="1"/>
  <c r="H500" i="1"/>
  <c r="I500" i="1" s="1"/>
  <c r="F500" i="1"/>
  <c r="G500" i="1" s="1"/>
  <c r="H499" i="1"/>
  <c r="I499" i="1" s="1"/>
  <c r="F499" i="1"/>
  <c r="G499" i="1" s="1"/>
  <c r="H498" i="1"/>
  <c r="I498" i="1" s="1"/>
  <c r="F498" i="1"/>
  <c r="G498" i="1" s="1"/>
  <c r="H497" i="1"/>
  <c r="I497" i="1" s="1"/>
  <c r="F497" i="1"/>
  <c r="G497" i="1" s="1"/>
  <c r="H496" i="1"/>
  <c r="I496" i="1" s="1"/>
  <c r="F496" i="1"/>
  <c r="G496" i="1" s="1"/>
  <c r="H495" i="1"/>
  <c r="I495" i="1" s="1"/>
  <c r="F495" i="1"/>
  <c r="G495" i="1" s="1"/>
  <c r="H494" i="1"/>
  <c r="O494" i="1" s="1"/>
  <c r="F494" i="1"/>
  <c r="G494" i="1" s="1"/>
  <c r="H493" i="1"/>
  <c r="I493" i="1" s="1"/>
  <c r="F493" i="1"/>
  <c r="G493" i="1" s="1"/>
  <c r="H492" i="1"/>
  <c r="O492" i="1" s="1"/>
  <c r="F492" i="1"/>
  <c r="G492" i="1" s="1"/>
  <c r="H491" i="1"/>
  <c r="O491" i="1" s="1"/>
  <c r="F491" i="1"/>
  <c r="G491" i="1" s="1"/>
  <c r="H490" i="1"/>
  <c r="O490" i="1" s="1"/>
  <c r="F490" i="1"/>
  <c r="G490" i="1" s="1"/>
  <c r="H489" i="1"/>
  <c r="I489" i="1" s="1"/>
  <c r="F489" i="1"/>
  <c r="G489" i="1" s="1"/>
  <c r="O488" i="1"/>
  <c r="P488" i="1" s="1"/>
  <c r="Q488" i="1" s="1"/>
  <c r="S488" i="1" s="1"/>
  <c r="J488" i="1" s="1"/>
  <c r="O487" i="1"/>
  <c r="P487" i="1" s="1"/>
  <c r="Q487" i="1" s="1"/>
  <c r="S487" i="1" s="1"/>
  <c r="J487" i="1" s="1"/>
  <c r="H486" i="1"/>
  <c r="O486" i="1" s="1"/>
  <c r="F486" i="1"/>
  <c r="G486" i="1" s="1"/>
  <c r="O485" i="1"/>
  <c r="P485" i="1" s="1"/>
  <c r="Q485" i="1" s="1"/>
  <c r="S485" i="1" s="1"/>
  <c r="J485" i="1" s="1"/>
  <c r="B485" i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H484" i="1"/>
  <c r="O484" i="1" s="1"/>
  <c r="F484" i="1"/>
  <c r="G484" i="1" s="1"/>
  <c r="H483" i="1"/>
  <c r="O483" i="1" s="1"/>
  <c r="F483" i="1"/>
  <c r="G483" i="1" s="1"/>
  <c r="H482" i="1"/>
  <c r="O482" i="1" s="1"/>
  <c r="F482" i="1"/>
  <c r="G482" i="1" s="1"/>
  <c r="H481" i="1"/>
  <c r="O481" i="1" s="1"/>
  <c r="F481" i="1"/>
  <c r="G481" i="1" s="1"/>
  <c r="H480" i="1"/>
  <c r="O480" i="1" s="1"/>
  <c r="F480" i="1"/>
  <c r="G480" i="1" s="1"/>
  <c r="H479" i="1"/>
  <c r="O479" i="1" s="1"/>
  <c r="F479" i="1"/>
  <c r="G479" i="1" s="1"/>
  <c r="O478" i="1"/>
  <c r="P478" i="1" s="1"/>
  <c r="Q478" i="1" s="1"/>
  <c r="S478" i="1" s="1"/>
  <c r="J478" i="1" s="1"/>
  <c r="F478" i="1"/>
  <c r="G477" i="1" s="1"/>
  <c r="H477" i="1"/>
  <c r="I477" i="1" s="1"/>
  <c r="F477" i="1"/>
  <c r="H476" i="1"/>
  <c r="I476" i="1" s="1"/>
  <c r="F476" i="1"/>
  <c r="G476" i="1" s="1"/>
  <c r="H475" i="1"/>
  <c r="I475" i="1" s="1"/>
  <c r="F475" i="1"/>
  <c r="G475" i="1" s="1"/>
  <c r="H474" i="1"/>
  <c r="I474" i="1" s="1"/>
  <c r="F474" i="1"/>
  <c r="G474" i="1" s="1"/>
  <c r="H473" i="1"/>
  <c r="I473" i="1" s="1"/>
  <c r="F473" i="1"/>
  <c r="G473" i="1" s="1"/>
  <c r="O472" i="1"/>
  <c r="P472" i="1" s="1"/>
  <c r="Q472" i="1" s="1"/>
  <c r="S472" i="1" s="1"/>
  <c r="J472" i="1" s="1"/>
  <c r="O471" i="1"/>
  <c r="P471" i="1" s="1"/>
  <c r="Q471" i="1" s="1"/>
  <c r="S471" i="1" s="1"/>
  <c r="J471" i="1" s="1"/>
  <c r="O470" i="1"/>
  <c r="P470" i="1" s="1"/>
  <c r="Q470" i="1" s="1"/>
  <c r="S470" i="1" s="1"/>
  <c r="J470" i="1" s="1"/>
  <c r="O469" i="1"/>
  <c r="P469" i="1" s="1"/>
  <c r="Q469" i="1" s="1"/>
  <c r="S469" i="1" s="1"/>
  <c r="J469" i="1" s="1"/>
  <c r="O468" i="1"/>
  <c r="P468" i="1" s="1"/>
  <c r="Q468" i="1" s="1"/>
  <c r="S468" i="1" s="1"/>
  <c r="J468" i="1" s="1"/>
  <c r="O467" i="1"/>
  <c r="P467" i="1" s="1"/>
  <c r="Q467" i="1" s="1"/>
  <c r="S467" i="1" s="1"/>
  <c r="J467" i="1" s="1"/>
  <c r="O466" i="1"/>
  <c r="P466" i="1" s="1"/>
  <c r="Q466" i="1" s="1"/>
  <c r="S466" i="1" s="1"/>
  <c r="J466" i="1" s="1"/>
  <c r="O465" i="1"/>
  <c r="P465" i="1" s="1"/>
  <c r="Q465" i="1" s="1"/>
  <c r="S465" i="1" s="1"/>
  <c r="J465" i="1" s="1"/>
  <c r="O464" i="1"/>
  <c r="P464" i="1" s="1"/>
  <c r="Q464" i="1" s="1"/>
  <c r="S464" i="1" s="1"/>
  <c r="J464" i="1" s="1"/>
  <c r="F464" i="1"/>
  <c r="G464" i="1" s="1"/>
  <c r="H463" i="1"/>
  <c r="O463" i="1" s="1"/>
  <c r="F463" i="1"/>
  <c r="G463" i="1" s="1"/>
  <c r="O462" i="1"/>
  <c r="P462" i="1" s="1"/>
  <c r="Q462" i="1" s="1"/>
  <c r="S462" i="1" s="1"/>
  <c r="J462" i="1" s="1"/>
  <c r="F462" i="1"/>
  <c r="G462" i="1" s="1"/>
  <c r="H461" i="1"/>
  <c r="O461" i="1" s="1"/>
  <c r="F461" i="1"/>
  <c r="G461" i="1" s="1"/>
  <c r="O460" i="1"/>
  <c r="P460" i="1" s="1"/>
  <c r="Q460" i="1" s="1"/>
  <c r="S460" i="1" s="1"/>
  <c r="J460" i="1" s="1"/>
  <c r="O459" i="1"/>
  <c r="P459" i="1" s="1"/>
  <c r="Q459" i="1" s="1"/>
  <c r="S459" i="1" s="1"/>
  <c r="J459" i="1" s="1"/>
  <c r="H458" i="1"/>
  <c r="I458" i="1" s="1"/>
  <c r="F458" i="1"/>
  <c r="G458" i="1" s="1"/>
  <c r="H457" i="1"/>
  <c r="O457" i="1" s="1"/>
  <c r="F457" i="1"/>
  <c r="G457" i="1" s="1"/>
  <c r="B457" i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O456" i="1"/>
  <c r="P456" i="1" s="1"/>
  <c r="Q456" i="1" s="1"/>
  <c r="S456" i="1" s="1"/>
  <c r="J456" i="1" s="1"/>
  <c r="I456" i="1"/>
  <c r="F456" i="1"/>
  <c r="G456" i="1" s="1"/>
  <c r="H455" i="1"/>
  <c r="O455" i="1" s="1"/>
  <c r="F455" i="1"/>
  <c r="G455" i="1" s="1"/>
  <c r="H454" i="1"/>
  <c r="O454" i="1" s="1"/>
  <c r="F454" i="1"/>
  <c r="G454" i="1" s="1"/>
  <c r="H453" i="1"/>
  <c r="O453" i="1" s="1"/>
  <c r="F453" i="1"/>
  <c r="G453" i="1" s="1"/>
  <c r="O452" i="1"/>
  <c r="P452" i="1" s="1"/>
  <c r="Q452" i="1" s="1"/>
  <c r="S452" i="1" s="1"/>
  <c r="J452" i="1" s="1"/>
  <c r="F452" i="1"/>
  <c r="G452" i="1" s="1"/>
  <c r="H451" i="1"/>
  <c r="O451" i="1" s="1"/>
  <c r="F451" i="1"/>
  <c r="G451" i="1" s="1"/>
  <c r="H450" i="1"/>
  <c r="O450" i="1" s="1"/>
  <c r="F450" i="1"/>
  <c r="G450" i="1" s="1"/>
  <c r="O449" i="1"/>
  <c r="P449" i="1" s="1"/>
  <c r="Q449" i="1" s="1"/>
  <c r="S449" i="1" s="1"/>
  <c r="J449" i="1" s="1"/>
  <c r="F449" i="1"/>
  <c r="G449" i="1" s="1"/>
  <c r="H448" i="1"/>
  <c r="O448" i="1" s="1"/>
  <c r="F448" i="1"/>
  <c r="G448" i="1" s="1"/>
  <c r="H447" i="1"/>
  <c r="O447" i="1" s="1"/>
  <c r="F447" i="1"/>
  <c r="G447" i="1" s="1"/>
  <c r="O446" i="1"/>
  <c r="P446" i="1" s="1"/>
  <c r="Q446" i="1" s="1"/>
  <c r="S446" i="1" s="1"/>
  <c r="J446" i="1" s="1"/>
  <c r="F446" i="1"/>
  <c r="G446" i="1" s="1"/>
  <c r="H445" i="1"/>
  <c r="O445" i="1" s="1"/>
  <c r="F445" i="1"/>
  <c r="G445" i="1" s="1"/>
  <c r="H444" i="1"/>
  <c r="O444" i="1" s="1"/>
  <c r="F444" i="1"/>
  <c r="G444" i="1" s="1"/>
  <c r="H443" i="1"/>
  <c r="O443" i="1" s="1"/>
  <c r="F443" i="1"/>
  <c r="G443" i="1" s="1"/>
  <c r="I442" i="1"/>
  <c r="H442" i="1"/>
  <c r="O442" i="1" s="1"/>
  <c r="F442" i="1"/>
  <c r="G442" i="1" s="1"/>
  <c r="H441" i="1"/>
  <c r="I441" i="1" s="1"/>
  <c r="F441" i="1"/>
  <c r="G441" i="1" s="1"/>
  <c r="O440" i="1"/>
  <c r="P440" i="1" s="1"/>
  <c r="Q440" i="1" s="1"/>
  <c r="S440" i="1" s="1"/>
  <c r="J440" i="1" s="1"/>
  <c r="O439" i="1"/>
  <c r="P439" i="1" s="1"/>
  <c r="Q439" i="1" s="1"/>
  <c r="S439" i="1" s="1"/>
  <c r="J439" i="1" s="1"/>
  <c r="O438" i="1"/>
  <c r="P438" i="1" s="1"/>
  <c r="Q438" i="1" s="1"/>
  <c r="S438" i="1" s="1"/>
  <c r="J438" i="1" s="1"/>
  <c r="O437" i="1"/>
  <c r="P437" i="1" s="1"/>
  <c r="Q437" i="1" s="1"/>
  <c r="S437" i="1" s="1"/>
  <c r="J437" i="1" s="1"/>
  <c r="H436" i="1"/>
  <c r="O436" i="1" s="1"/>
  <c r="F436" i="1"/>
  <c r="G436" i="1" s="1"/>
  <c r="H435" i="1"/>
  <c r="O435" i="1" s="1"/>
  <c r="F435" i="1"/>
  <c r="G435" i="1" s="1"/>
  <c r="H434" i="1"/>
  <c r="I434" i="1" s="1"/>
  <c r="F434" i="1"/>
  <c r="G434" i="1" s="1"/>
  <c r="H433" i="1"/>
  <c r="O433" i="1" s="1"/>
  <c r="F433" i="1"/>
  <c r="G433" i="1" s="1"/>
  <c r="O432" i="1"/>
  <c r="P432" i="1" s="1"/>
  <c r="Q432" i="1" s="1"/>
  <c r="S432" i="1" s="1"/>
  <c r="J432" i="1" s="1"/>
  <c r="I432" i="1"/>
  <c r="F432" i="1"/>
  <c r="G432" i="1" s="1"/>
  <c r="O431" i="1"/>
  <c r="P431" i="1" s="1"/>
  <c r="Q431" i="1" s="1"/>
  <c r="S431" i="1" s="1"/>
  <c r="J431" i="1" s="1"/>
  <c r="I431" i="1"/>
  <c r="F431" i="1"/>
  <c r="G431" i="1" s="1"/>
  <c r="O430" i="1"/>
  <c r="P430" i="1" s="1"/>
  <c r="Q430" i="1" s="1"/>
  <c r="S430" i="1" s="1"/>
  <c r="J430" i="1" s="1"/>
  <c r="O429" i="1"/>
  <c r="P429" i="1" s="1"/>
  <c r="Q429" i="1" s="1"/>
  <c r="S429" i="1" s="1"/>
  <c r="J429" i="1" s="1"/>
  <c r="O428" i="1"/>
  <c r="P428" i="1" s="1"/>
  <c r="Q428" i="1" s="1"/>
  <c r="S428" i="1" s="1"/>
  <c r="J428" i="1" s="1"/>
  <c r="O427" i="1"/>
  <c r="P427" i="1" s="1"/>
  <c r="Q427" i="1" s="1"/>
  <c r="S427" i="1" s="1"/>
  <c r="J427" i="1" s="1"/>
  <c r="O426" i="1"/>
  <c r="P426" i="1" s="1"/>
  <c r="Q426" i="1" s="1"/>
  <c r="S426" i="1" s="1"/>
  <c r="J426" i="1" s="1"/>
  <c r="O425" i="1"/>
  <c r="P425" i="1" s="1"/>
  <c r="Q425" i="1" s="1"/>
  <c r="S425" i="1" s="1"/>
  <c r="J425" i="1" s="1"/>
  <c r="O424" i="1"/>
  <c r="P424" i="1" s="1"/>
  <c r="Q424" i="1" s="1"/>
  <c r="S424" i="1" s="1"/>
  <c r="J424" i="1" s="1"/>
  <c r="O423" i="1"/>
  <c r="P423" i="1" s="1"/>
  <c r="Q423" i="1" s="1"/>
  <c r="S423" i="1" s="1"/>
  <c r="J423" i="1" s="1"/>
  <c r="O422" i="1"/>
  <c r="P422" i="1" s="1"/>
  <c r="Q422" i="1" s="1"/>
  <c r="S422" i="1" s="1"/>
  <c r="J422" i="1" s="1"/>
  <c r="O421" i="1"/>
  <c r="P421" i="1" s="1"/>
  <c r="Q421" i="1" s="1"/>
  <c r="S421" i="1" s="1"/>
  <c r="J421" i="1" s="1"/>
  <c r="O420" i="1"/>
  <c r="P420" i="1" s="1"/>
  <c r="Q420" i="1" s="1"/>
  <c r="S420" i="1" s="1"/>
  <c r="J420" i="1" s="1"/>
  <c r="O419" i="1"/>
  <c r="P419" i="1" s="1"/>
  <c r="Q419" i="1" s="1"/>
  <c r="S419" i="1" s="1"/>
  <c r="J419" i="1" s="1"/>
  <c r="O418" i="1"/>
  <c r="P418" i="1" s="1"/>
  <c r="Q418" i="1" s="1"/>
  <c r="S418" i="1" s="1"/>
  <c r="J418" i="1" s="1"/>
  <c r="O417" i="1"/>
  <c r="P417" i="1" s="1"/>
  <c r="Q417" i="1" s="1"/>
  <c r="S417" i="1" s="1"/>
  <c r="J417" i="1" s="1"/>
  <c r="O416" i="1"/>
  <c r="P416" i="1" s="1"/>
  <c r="Q416" i="1" s="1"/>
  <c r="S416" i="1" s="1"/>
  <c r="J416" i="1" s="1"/>
  <c r="O415" i="1"/>
  <c r="P415" i="1" s="1"/>
  <c r="Q415" i="1" s="1"/>
  <c r="S415" i="1" s="1"/>
  <c r="J415" i="1" s="1"/>
  <c r="O414" i="1"/>
  <c r="P414" i="1" s="1"/>
  <c r="Q414" i="1" s="1"/>
  <c r="S414" i="1" s="1"/>
  <c r="J414" i="1" s="1"/>
  <c r="O413" i="1"/>
  <c r="P413" i="1" s="1"/>
  <c r="Q413" i="1" s="1"/>
  <c r="S413" i="1" s="1"/>
  <c r="J413" i="1" s="1"/>
  <c r="H412" i="1"/>
  <c r="I412" i="1" s="1"/>
  <c r="F412" i="1"/>
  <c r="G412" i="1" s="1"/>
  <c r="H411" i="1"/>
  <c r="O411" i="1" s="1"/>
  <c r="F411" i="1"/>
  <c r="G411" i="1" s="1"/>
  <c r="H410" i="1"/>
  <c r="I410" i="1" s="1"/>
  <c r="F410" i="1"/>
  <c r="G410" i="1" s="1"/>
  <c r="H409" i="1"/>
  <c r="O409" i="1" s="1"/>
  <c r="F409" i="1"/>
  <c r="G409" i="1" s="1"/>
  <c r="H408" i="1"/>
  <c r="I408" i="1" s="1"/>
  <c r="F408" i="1"/>
  <c r="G408" i="1" s="1"/>
  <c r="H407" i="1"/>
  <c r="O407" i="1" s="1"/>
  <c r="F407" i="1"/>
  <c r="G407" i="1" s="1"/>
  <c r="H406" i="1"/>
  <c r="O406" i="1" s="1"/>
  <c r="F406" i="1"/>
  <c r="G406" i="1" s="1"/>
  <c r="H405" i="1"/>
  <c r="O405" i="1" s="1"/>
  <c r="F405" i="1"/>
  <c r="G405" i="1" s="1"/>
  <c r="H404" i="1"/>
  <c r="O404" i="1" s="1"/>
  <c r="F404" i="1"/>
  <c r="G404" i="1" s="1"/>
  <c r="H403" i="1"/>
  <c r="O403" i="1" s="1"/>
  <c r="F403" i="1"/>
  <c r="G403" i="1" s="1"/>
  <c r="O402" i="1"/>
  <c r="P402" i="1" s="1"/>
  <c r="Q402" i="1" s="1"/>
  <c r="S402" i="1" s="1"/>
  <c r="J402" i="1" s="1"/>
  <c r="F402" i="1"/>
  <c r="G402" i="1" s="1"/>
  <c r="H401" i="1"/>
  <c r="O401" i="1" s="1"/>
  <c r="F401" i="1"/>
  <c r="G401" i="1" s="1"/>
  <c r="H400" i="1"/>
  <c r="O400" i="1" s="1"/>
  <c r="F400" i="1"/>
  <c r="G400" i="1" s="1"/>
  <c r="H399" i="1"/>
  <c r="O399" i="1" s="1"/>
  <c r="F399" i="1"/>
  <c r="G399" i="1" s="1"/>
  <c r="H398" i="1"/>
  <c r="O398" i="1" s="1"/>
  <c r="F398" i="1"/>
  <c r="G398" i="1" s="1"/>
  <c r="H397" i="1"/>
  <c r="O397" i="1" s="1"/>
  <c r="F397" i="1"/>
  <c r="G397" i="1" s="1"/>
  <c r="H396" i="1"/>
  <c r="O396" i="1" s="1"/>
  <c r="F396" i="1"/>
  <c r="G396" i="1" s="1"/>
  <c r="H395" i="1"/>
  <c r="O395" i="1" s="1"/>
  <c r="F395" i="1"/>
  <c r="G395" i="1" s="1"/>
  <c r="H394" i="1"/>
  <c r="O394" i="1" s="1"/>
  <c r="F394" i="1"/>
  <c r="G394" i="1" s="1"/>
  <c r="H393" i="1"/>
  <c r="O393" i="1" s="1"/>
  <c r="F393" i="1"/>
  <c r="G393" i="1" s="1"/>
  <c r="H392" i="1"/>
  <c r="O392" i="1" s="1"/>
  <c r="F392" i="1"/>
  <c r="G392" i="1" s="1"/>
  <c r="H391" i="1"/>
  <c r="O391" i="1" s="1"/>
  <c r="F391" i="1"/>
  <c r="G391" i="1" s="1"/>
  <c r="H390" i="1"/>
  <c r="O390" i="1" s="1"/>
  <c r="F390" i="1"/>
  <c r="G390" i="1" s="1"/>
  <c r="H389" i="1"/>
  <c r="O389" i="1" s="1"/>
  <c r="F389" i="1"/>
  <c r="G389" i="1" s="1"/>
  <c r="H388" i="1"/>
  <c r="O388" i="1" s="1"/>
  <c r="F388" i="1"/>
  <c r="G388" i="1" s="1"/>
  <c r="H387" i="1"/>
  <c r="O387" i="1" s="1"/>
  <c r="F387" i="1"/>
  <c r="G387" i="1" s="1"/>
  <c r="H386" i="1"/>
  <c r="O386" i="1" s="1"/>
  <c r="F386" i="1"/>
  <c r="G386" i="1" s="1"/>
  <c r="I385" i="1"/>
  <c r="H385" i="1"/>
  <c r="O385" i="1" s="1"/>
  <c r="G385" i="1"/>
  <c r="F385" i="1"/>
  <c r="I384" i="1"/>
  <c r="H384" i="1"/>
  <c r="O384" i="1" s="1"/>
  <c r="F384" i="1"/>
  <c r="G384" i="1" s="1"/>
  <c r="H383" i="1"/>
  <c r="O383" i="1" s="1"/>
  <c r="H382" i="1"/>
  <c r="O382" i="1" s="1"/>
  <c r="H381" i="1"/>
  <c r="I381" i="1" s="1"/>
  <c r="F381" i="1"/>
  <c r="G381" i="1" s="1"/>
  <c r="H380" i="1"/>
  <c r="I380" i="1" s="1"/>
  <c r="F380" i="1"/>
  <c r="G380" i="1" s="1"/>
  <c r="H379" i="1"/>
  <c r="I379" i="1" s="1"/>
  <c r="F379" i="1"/>
  <c r="G379" i="1" s="1"/>
  <c r="H378" i="1"/>
  <c r="I378" i="1" s="1"/>
  <c r="F378" i="1"/>
  <c r="G378" i="1" s="1"/>
  <c r="H377" i="1"/>
  <c r="I377" i="1" s="1"/>
  <c r="F377" i="1"/>
  <c r="G377" i="1" s="1"/>
  <c r="H376" i="1"/>
  <c r="I376" i="1" s="1"/>
  <c r="F376" i="1"/>
  <c r="G376" i="1" s="1"/>
  <c r="H375" i="1"/>
  <c r="F375" i="1"/>
  <c r="G375" i="1" s="1"/>
  <c r="H374" i="1"/>
  <c r="O374" i="1" s="1"/>
  <c r="F374" i="1"/>
  <c r="G374" i="1" s="1"/>
  <c r="H373" i="1"/>
  <c r="O373" i="1" s="1"/>
  <c r="F373" i="1"/>
  <c r="G373" i="1" s="1"/>
  <c r="H372" i="1"/>
  <c r="O372" i="1" s="1"/>
  <c r="F372" i="1"/>
  <c r="G372" i="1" s="1"/>
  <c r="O371" i="1"/>
  <c r="P371" i="1" s="1"/>
  <c r="Q371" i="1" s="1"/>
  <c r="S371" i="1" s="1"/>
  <c r="J371" i="1" s="1"/>
  <c r="I371" i="1"/>
  <c r="F371" i="1"/>
  <c r="G371" i="1" s="1"/>
  <c r="H370" i="1"/>
  <c r="O370" i="1" s="1"/>
  <c r="F370" i="1"/>
  <c r="G370" i="1" s="1"/>
  <c r="H369" i="1"/>
  <c r="I369" i="1" s="1"/>
  <c r="F369" i="1"/>
  <c r="G369" i="1" s="1"/>
  <c r="H368" i="1"/>
  <c r="O368" i="1" s="1"/>
  <c r="F368" i="1"/>
  <c r="G368" i="1" s="1"/>
  <c r="O367" i="1"/>
  <c r="P367" i="1" s="1"/>
  <c r="Q367" i="1" s="1"/>
  <c r="S367" i="1" s="1"/>
  <c r="J367" i="1" s="1"/>
  <c r="I367" i="1"/>
  <c r="F367" i="1"/>
  <c r="G367" i="1" s="1"/>
  <c r="H366" i="1"/>
  <c r="I366" i="1" s="1"/>
  <c r="F366" i="1"/>
  <c r="G366" i="1" s="1"/>
  <c r="O365" i="1"/>
  <c r="P365" i="1" s="1"/>
  <c r="Q365" i="1" s="1"/>
  <c r="S365" i="1" s="1"/>
  <c r="J365" i="1" s="1"/>
  <c r="I365" i="1"/>
  <c r="F365" i="1"/>
  <c r="G365" i="1" s="1"/>
  <c r="H364" i="1"/>
  <c r="O364" i="1" s="1"/>
  <c r="F364" i="1"/>
  <c r="G364" i="1" s="1"/>
  <c r="H363" i="1"/>
  <c r="I363" i="1" s="1"/>
  <c r="F363" i="1"/>
  <c r="G363" i="1" s="1"/>
  <c r="H362" i="1"/>
  <c r="O362" i="1" s="1"/>
  <c r="F362" i="1"/>
  <c r="G362" i="1" s="1"/>
  <c r="H361" i="1"/>
  <c r="I361" i="1" s="1"/>
  <c r="F361" i="1"/>
  <c r="G361" i="1" s="1"/>
  <c r="H360" i="1"/>
  <c r="O360" i="1" s="1"/>
  <c r="F360" i="1"/>
  <c r="G360" i="1" s="1"/>
  <c r="H359" i="1"/>
  <c r="I359" i="1" s="1"/>
  <c r="F359" i="1"/>
  <c r="G359" i="1" s="1"/>
  <c r="H358" i="1"/>
  <c r="O358" i="1" s="1"/>
  <c r="F358" i="1"/>
  <c r="G358" i="1" s="1"/>
  <c r="H357" i="1"/>
  <c r="I357" i="1" s="1"/>
  <c r="F357" i="1"/>
  <c r="G357" i="1" s="1"/>
  <c r="H356" i="1"/>
  <c r="O356" i="1" s="1"/>
  <c r="F356" i="1"/>
  <c r="G356" i="1" s="1"/>
  <c r="H355" i="1"/>
  <c r="I355" i="1" s="1"/>
  <c r="F355" i="1"/>
  <c r="G355" i="1" s="1"/>
  <c r="H354" i="1"/>
  <c r="O354" i="1" s="1"/>
  <c r="F354" i="1"/>
  <c r="G354" i="1" s="1"/>
  <c r="H353" i="1"/>
  <c r="I353" i="1" s="1"/>
  <c r="F353" i="1"/>
  <c r="G353" i="1" s="1"/>
  <c r="H352" i="1"/>
  <c r="O352" i="1" s="1"/>
  <c r="F352" i="1"/>
  <c r="G352" i="1" s="1"/>
  <c r="H351" i="1"/>
  <c r="I351" i="1" s="1"/>
  <c r="F351" i="1"/>
  <c r="G351" i="1" s="1"/>
  <c r="H350" i="1"/>
  <c r="O350" i="1" s="1"/>
  <c r="F350" i="1"/>
  <c r="G350" i="1" s="1"/>
  <c r="H349" i="1"/>
  <c r="I349" i="1" s="1"/>
  <c r="F349" i="1"/>
  <c r="G349" i="1" s="1"/>
  <c r="O348" i="1"/>
  <c r="P348" i="1" s="1"/>
  <c r="Q348" i="1" s="1"/>
  <c r="S348" i="1" s="1"/>
  <c r="J348" i="1" s="1"/>
  <c r="H347" i="1"/>
  <c r="I347" i="1" s="1"/>
  <c r="F347" i="1"/>
  <c r="G347" i="1" s="1"/>
  <c r="H346" i="1"/>
  <c r="O346" i="1" s="1"/>
  <c r="F346" i="1"/>
  <c r="G346" i="1" s="1"/>
  <c r="H345" i="1"/>
  <c r="I345" i="1" s="1"/>
  <c r="F345" i="1"/>
  <c r="G345" i="1" s="1"/>
  <c r="H344" i="1"/>
  <c r="O344" i="1" s="1"/>
  <c r="F344" i="1"/>
  <c r="G344" i="1" s="1"/>
  <c r="H343" i="1"/>
  <c r="I343" i="1" s="1"/>
  <c r="F343" i="1"/>
  <c r="G343" i="1" s="1"/>
  <c r="H342" i="1"/>
  <c r="O342" i="1" s="1"/>
  <c r="F342" i="1"/>
  <c r="G342" i="1" s="1"/>
  <c r="H341" i="1"/>
  <c r="I341" i="1" s="1"/>
  <c r="F341" i="1"/>
  <c r="G341" i="1" s="1"/>
  <c r="H340" i="1"/>
  <c r="O340" i="1" s="1"/>
  <c r="F340" i="1"/>
  <c r="G340" i="1" s="1"/>
  <c r="H339" i="1"/>
  <c r="I339" i="1" s="1"/>
  <c r="F339" i="1"/>
  <c r="G339" i="1" s="1"/>
  <c r="H338" i="1"/>
  <c r="O338" i="1" s="1"/>
  <c r="F338" i="1"/>
  <c r="G338" i="1" s="1"/>
  <c r="H337" i="1"/>
  <c r="I337" i="1" s="1"/>
  <c r="F337" i="1"/>
  <c r="G337" i="1" s="1"/>
  <c r="H336" i="1"/>
  <c r="O336" i="1" s="1"/>
  <c r="F336" i="1"/>
  <c r="G336" i="1" s="1"/>
  <c r="H335" i="1"/>
  <c r="I335" i="1" s="1"/>
  <c r="F335" i="1"/>
  <c r="G335" i="1" s="1"/>
  <c r="H334" i="1"/>
  <c r="O334" i="1" s="1"/>
  <c r="F334" i="1"/>
  <c r="G334" i="1" s="1"/>
  <c r="H333" i="1"/>
  <c r="I333" i="1" s="1"/>
  <c r="F333" i="1"/>
  <c r="G333" i="1" s="1"/>
  <c r="H332" i="1"/>
  <c r="O332" i="1" s="1"/>
  <c r="F332" i="1"/>
  <c r="G332" i="1" s="1"/>
  <c r="H331" i="1"/>
  <c r="I331" i="1" s="1"/>
  <c r="F331" i="1"/>
  <c r="G331" i="1" s="1"/>
  <c r="H330" i="1"/>
  <c r="O330" i="1" s="1"/>
  <c r="F330" i="1"/>
  <c r="G330" i="1" s="1"/>
  <c r="H329" i="1"/>
  <c r="I329" i="1" s="1"/>
  <c r="F329" i="1"/>
  <c r="G329" i="1" s="1"/>
  <c r="H328" i="1"/>
  <c r="O328" i="1" s="1"/>
  <c r="F328" i="1"/>
  <c r="G328" i="1" s="1"/>
  <c r="H327" i="1"/>
  <c r="I327" i="1" s="1"/>
  <c r="F327" i="1"/>
  <c r="G327" i="1" s="1"/>
  <c r="H326" i="1"/>
  <c r="O326" i="1" s="1"/>
  <c r="F326" i="1"/>
  <c r="G326" i="1" s="1"/>
  <c r="H325" i="1"/>
  <c r="I325" i="1" s="1"/>
  <c r="F325" i="1"/>
  <c r="G325" i="1" s="1"/>
  <c r="I324" i="1"/>
  <c r="H324" i="1"/>
  <c r="O324" i="1" s="1"/>
  <c r="F324" i="1"/>
  <c r="G324" i="1" s="1"/>
  <c r="H323" i="1"/>
  <c r="I323" i="1" s="1"/>
  <c r="F323" i="1"/>
  <c r="G323" i="1" s="1"/>
  <c r="H322" i="1"/>
  <c r="O322" i="1" s="1"/>
  <c r="F322" i="1"/>
  <c r="G322" i="1" s="1"/>
  <c r="H321" i="1"/>
  <c r="I321" i="1" s="1"/>
  <c r="F321" i="1"/>
  <c r="G321" i="1" s="1"/>
  <c r="I320" i="1"/>
  <c r="H320" i="1"/>
  <c r="O320" i="1" s="1"/>
  <c r="F320" i="1"/>
  <c r="G320" i="1" s="1"/>
  <c r="H319" i="1"/>
  <c r="I319" i="1" s="1"/>
  <c r="F319" i="1"/>
  <c r="G319" i="1" s="1"/>
  <c r="O318" i="1"/>
  <c r="P318" i="1" s="1"/>
  <c r="Q318" i="1" s="1"/>
  <c r="S318" i="1" s="1"/>
  <c r="J318" i="1" s="1"/>
  <c r="H317" i="1"/>
  <c r="I317" i="1" s="1"/>
  <c r="F317" i="1"/>
  <c r="G317" i="1" s="1"/>
  <c r="H316" i="1"/>
  <c r="O316" i="1" s="1"/>
  <c r="F316" i="1"/>
  <c r="G316" i="1" s="1"/>
  <c r="H315" i="1"/>
  <c r="I315" i="1" s="1"/>
  <c r="F315" i="1"/>
  <c r="G315" i="1" s="1"/>
  <c r="H314" i="1"/>
  <c r="O314" i="1" s="1"/>
  <c r="F314" i="1"/>
  <c r="G314" i="1" s="1"/>
  <c r="H313" i="1"/>
  <c r="I313" i="1" s="1"/>
  <c r="F313" i="1"/>
  <c r="G313" i="1" s="1"/>
  <c r="H312" i="1"/>
  <c r="O312" i="1" s="1"/>
  <c r="F312" i="1"/>
  <c r="G312" i="1" s="1"/>
  <c r="H311" i="1"/>
  <c r="I311" i="1" s="1"/>
  <c r="F311" i="1"/>
  <c r="G311" i="1" s="1"/>
  <c r="H310" i="1"/>
  <c r="O310" i="1" s="1"/>
  <c r="F310" i="1"/>
  <c r="G310" i="1" s="1"/>
  <c r="H309" i="1"/>
  <c r="I309" i="1" s="1"/>
  <c r="F309" i="1"/>
  <c r="G309" i="1" s="1"/>
  <c r="H308" i="1"/>
  <c r="O308" i="1" s="1"/>
  <c r="F308" i="1"/>
  <c r="G308" i="1" s="1"/>
  <c r="H307" i="1"/>
  <c r="I307" i="1" s="1"/>
  <c r="F307" i="1"/>
  <c r="G307" i="1" s="1"/>
  <c r="I306" i="1"/>
  <c r="H306" i="1"/>
  <c r="O306" i="1" s="1"/>
  <c r="F306" i="1"/>
  <c r="G306" i="1" s="1"/>
  <c r="H305" i="1"/>
  <c r="I305" i="1" s="1"/>
  <c r="F305" i="1"/>
  <c r="G305" i="1" s="1"/>
  <c r="H304" i="1"/>
  <c r="O304" i="1" s="1"/>
  <c r="F304" i="1"/>
  <c r="G304" i="1" s="1"/>
  <c r="O303" i="1"/>
  <c r="P303" i="1" s="1"/>
  <c r="Q303" i="1" s="1"/>
  <c r="S303" i="1" s="1"/>
  <c r="J303" i="1" s="1"/>
  <c r="H302" i="1"/>
  <c r="O302" i="1" s="1"/>
  <c r="F302" i="1"/>
  <c r="G302" i="1" s="1"/>
  <c r="H301" i="1"/>
  <c r="I301" i="1" s="1"/>
  <c r="F301" i="1"/>
  <c r="G301" i="1" s="1"/>
  <c r="H300" i="1"/>
  <c r="O300" i="1" s="1"/>
  <c r="F300" i="1"/>
  <c r="G300" i="1" s="1"/>
  <c r="H299" i="1"/>
  <c r="I299" i="1" s="1"/>
  <c r="F299" i="1"/>
  <c r="G299" i="1" s="1"/>
  <c r="H298" i="1"/>
  <c r="O298" i="1" s="1"/>
  <c r="F298" i="1"/>
  <c r="G298" i="1" s="1"/>
  <c r="H297" i="1"/>
  <c r="I297" i="1" s="1"/>
  <c r="F297" i="1"/>
  <c r="G297" i="1" s="1"/>
  <c r="O296" i="1"/>
  <c r="P296" i="1" s="1"/>
  <c r="Q296" i="1" s="1"/>
  <c r="S296" i="1" s="1"/>
  <c r="J296" i="1" s="1"/>
  <c r="I296" i="1"/>
  <c r="F296" i="1"/>
  <c r="G296" i="1" s="1"/>
  <c r="H295" i="1"/>
  <c r="O295" i="1" s="1"/>
  <c r="F295" i="1"/>
  <c r="G295" i="1" s="1"/>
  <c r="H294" i="1"/>
  <c r="I294" i="1" s="1"/>
  <c r="F294" i="1"/>
  <c r="G294" i="1" s="1"/>
  <c r="O293" i="1"/>
  <c r="P293" i="1" s="1"/>
  <c r="Q293" i="1" s="1"/>
  <c r="S293" i="1" s="1"/>
  <c r="J293" i="1" s="1"/>
  <c r="H292" i="1"/>
  <c r="I292" i="1" s="1"/>
  <c r="F292" i="1"/>
  <c r="G292" i="1" s="1"/>
  <c r="H291" i="1"/>
  <c r="O291" i="1" s="1"/>
  <c r="F291" i="1"/>
  <c r="G291" i="1" s="1"/>
  <c r="H290" i="1"/>
  <c r="I290" i="1" s="1"/>
  <c r="F290" i="1"/>
  <c r="G290" i="1" s="1"/>
  <c r="O289" i="1"/>
  <c r="P289" i="1" s="1"/>
  <c r="Q289" i="1" s="1"/>
  <c r="S289" i="1" s="1"/>
  <c r="J289" i="1" s="1"/>
  <c r="H288" i="1"/>
  <c r="I288" i="1" s="1"/>
  <c r="F288" i="1"/>
  <c r="G288" i="1" s="1"/>
  <c r="H287" i="1"/>
  <c r="O287" i="1" s="1"/>
  <c r="F287" i="1"/>
  <c r="G287" i="1" s="1"/>
  <c r="H286" i="1"/>
  <c r="I286" i="1" s="1"/>
  <c r="F286" i="1"/>
  <c r="G286" i="1" s="1"/>
  <c r="H285" i="1"/>
  <c r="O285" i="1" s="1"/>
  <c r="F285" i="1"/>
  <c r="G285" i="1" s="1"/>
  <c r="H284" i="1"/>
  <c r="I284" i="1" s="1"/>
  <c r="F284" i="1"/>
  <c r="G284" i="1" s="1"/>
  <c r="I283" i="1"/>
  <c r="H283" i="1"/>
  <c r="O283" i="1" s="1"/>
  <c r="F283" i="1"/>
  <c r="G283" i="1" s="1"/>
  <c r="H282" i="1"/>
  <c r="I282" i="1" s="1"/>
  <c r="F282" i="1"/>
  <c r="G282" i="1" s="1"/>
  <c r="H281" i="1"/>
  <c r="O281" i="1" s="1"/>
  <c r="F281" i="1"/>
  <c r="G281" i="1" s="1"/>
  <c r="H280" i="1"/>
  <c r="I280" i="1" s="1"/>
  <c r="F280" i="1"/>
  <c r="G280" i="1" s="1"/>
  <c r="H279" i="1"/>
  <c r="O279" i="1" s="1"/>
  <c r="F279" i="1"/>
  <c r="G279" i="1" s="1"/>
  <c r="H278" i="1"/>
  <c r="O278" i="1" s="1"/>
  <c r="F278" i="1"/>
  <c r="G278" i="1" s="1"/>
  <c r="O277" i="1"/>
  <c r="P277" i="1" s="1"/>
  <c r="Q277" i="1" s="1"/>
  <c r="S277" i="1" s="1"/>
  <c r="J277" i="1" s="1"/>
  <c r="I277" i="1"/>
  <c r="F277" i="1"/>
  <c r="G277" i="1" s="1"/>
  <c r="H276" i="1"/>
  <c r="O276" i="1" s="1"/>
  <c r="F276" i="1"/>
  <c r="G276" i="1" s="1"/>
  <c r="H275" i="1"/>
  <c r="I275" i="1" s="1"/>
  <c r="F275" i="1"/>
  <c r="G275" i="1" s="1"/>
  <c r="H274" i="1"/>
  <c r="O274" i="1" s="1"/>
  <c r="F274" i="1"/>
  <c r="G274" i="1" s="1"/>
  <c r="H273" i="1"/>
  <c r="I273" i="1" s="1"/>
  <c r="F273" i="1"/>
  <c r="G273" i="1" s="1"/>
  <c r="I272" i="1"/>
  <c r="H272" i="1"/>
  <c r="O272" i="1" s="1"/>
  <c r="F272" i="1"/>
  <c r="G272" i="1" s="1"/>
  <c r="H271" i="1"/>
  <c r="I271" i="1" s="1"/>
  <c r="F271" i="1"/>
  <c r="G271" i="1" s="1"/>
  <c r="H270" i="1"/>
  <c r="O270" i="1" s="1"/>
  <c r="F270" i="1"/>
  <c r="G270" i="1" s="1"/>
  <c r="H269" i="1"/>
  <c r="I269" i="1" s="1"/>
  <c r="F269" i="1"/>
  <c r="G269" i="1" s="1"/>
  <c r="H268" i="1"/>
  <c r="O268" i="1" s="1"/>
  <c r="F268" i="1"/>
  <c r="G268" i="1" s="1"/>
  <c r="H267" i="1"/>
  <c r="I267" i="1" s="1"/>
  <c r="F267" i="1"/>
  <c r="G267" i="1" s="1"/>
  <c r="H266" i="1"/>
  <c r="O266" i="1" s="1"/>
  <c r="F266" i="1"/>
  <c r="G266" i="1" s="1"/>
  <c r="H265" i="1"/>
  <c r="I265" i="1" s="1"/>
  <c r="F265" i="1"/>
  <c r="G265" i="1" s="1"/>
  <c r="O264" i="1"/>
  <c r="P264" i="1" s="1"/>
  <c r="Q264" i="1" s="1"/>
  <c r="S264" i="1" s="1"/>
  <c r="J264" i="1" s="1"/>
  <c r="F264" i="1"/>
  <c r="G264" i="1" s="1"/>
  <c r="H263" i="1"/>
  <c r="O263" i="1" s="1"/>
  <c r="F263" i="1"/>
  <c r="G263" i="1" s="1"/>
  <c r="H262" i="1"/>
  <c r="O262" i="1" s="1"/>
  <c r="F262" i="1"/>
  <c r="G262" i="1" s="1"/>
  <c r="H261" i="1"/>
  <c r="I261" i="1" s="1"/>
  <c r="F261" i="1"/>
  <c r="G261" i="1" s="1"/>
  <c r="H260" i="1"/>
  <c r="O260" i="1" s="1"/>
  <c r="F260" i="1"/>
  <c r="G260" i="1" s="1"/>
  <c r="H259" i="1"/>
  <c r="I259" i="1" s="1"/>
  <c r="F259" i="1"/>
  <c r="G259" i="1" s="1"/>
  <c r="H258" i="1"/>
  <c r="O258" i="1" s="1"/>
  <c r="F258" i="1"/>
  <c r="G258" i="1" s="1"/>
  <c r="H257" i="1"/>
  <c r="I257" i="1" s="1"/>
  <c r="F257" i="1"/>
  <c r="G257" i="1" s="1"/>
  <c r="H256" i="1"/>
  <c r="O256" i="1" s="1"/>
  <c r="F256" i="1"/>
  <c r="G256" i="1" s="1"/>
  <c r="H255" i="1"/>
  <c r="I255" i="1" s="1"/>
  <c r="F255" i="1"/>
  <c r="G255" i="1" s="1"/>
  <c r="H254" i="1"/>
  <c r="O254" i="1" s="1"/>
  <c r="F254" i="1"/>
  <c r="G254" i="1" s="1"/>
  <c r="H253" i="1"/>
  <c r="I253" i="1" s="1"/>
  <c r="F253" i="1"/>
  <c r="G253" i="1" s="1"/>
  <c r="H252" i="1"/>
  <c r="O252" i="1" s="1"/>
  <c r="F252" i="1"/>
  <c r="G252" i="1" s="1"/>
  <c r="H251" i="1"/>
  <c r="I251" i="1" s="1"/>
  <c r="F251" i="1"/>
  <c r="G251" i="1" s="1"/>
  <c r="H250" i="1"/>
  <c r="O250" i="1" s="1"/>
  <c r="F250" i="1"/>
  <c r="G250" i="1" s="1"/>
  <c r="H249" i="1"/>
  <c r="I249" i="1" s="1"/>
  <c r="G249" i="1"/>
  <c r="H248" i="1"/>
  <c r="I248" i="1" s="1"/>
  <c r="G248" i="1"/>
  <c r="H247" i="1"/>
  <c r="I247" i="1" s="1"/>
  <c r="F247" i="1"/>
  <c r="G247" i="1" s="1"/>
  <c r="H246" i="1"/>
  <c r="O246" i="1" s="1"/>
  <c r="F246" i="1"/>
  <c r="G246" i="1" s="1"/>
  <c r="H245" i="1"/>
  <c r="I245" i="1" s="1"/>
  <c r="F245" i="1"/>
  <c r="G245" i="1" s="1"/>
  <c r="H244" i="1"/>
  <c r="O244" i="1" s="1"/>
  <c r="F244" i="1"/>
  <c r="G244" i="1" s="1"/>
  <c r="H243" i="1"/>
  <c r="I243" i="1" s="1"/>
  <c r="F243" i="1"/>
  <c r="G243" i="1" s="1"/>
  <c r="I242" i="1"/>
  <c r="H242" i="1"/>
  <c r="O242" i="1" s="1"/>
  <c r="F242" i="1"/>
  <c r="G242" i="1" s="1"/>
  <c r="H241" i="1"/>
  <c r="I241" i="1" s="1"/>
  <c r="F241" i="1"/>
  <c r="G241" i="1" s="1"/>
  <c r="H240" i="1"/>
  <c r="O240" i="1" s="1"/>
  <c r="F240" i="1"/>
  <c r="G240" i="1" s="1"/>
  <c r="H239" i="1"/>
  <c r="O239" i="1" s="1"/>
  <c r="F239" i="1"/>
  <c r="G239" i="1" s="1"/>
  <c r="H238" i="1"/>
  <c r="I238" i="1" s="1"/>
  <c r="F238" i="1"/>
  <c r="G238" i="1" s="1"/>
  <c r="H237" i="1"/>
  <c r="O237" i="1" s="1"/>
  <c r="F237" i="1"/>
  <c r="G237" i="1" s="1"/>
  <c r="H236" i="1"/>
  <c r="O236" i="1" s="1"/>
  <c r="F236" i="1"/>
  <c r="G236" i="1" s="1"/>
  <c r="H235" i="1"/>
  <c r="O235" i="1" s="1"/>
  <c r="F235" i="1"/>
  <c r="G235" i="1" s="1"/>
  <c r="H234" i="1"/>
  <c r="I234" i="1" s="1"/>
  <c r="F234" i="1"/>
  <c r="G234" i="1" s="1"/>
  <c r="H233" i="1"/>
  <c r="I233" i="1" s="1"/>
  <c r="F233" i="1"/>
  <c r="G233" i="1" s="1"/>
  <c r="H232" i="1"/>
  <c r="I232" i="1" s="1"/>
  <c r="F232" i="1"/>
  <c r="G232" i="1" s="1"/>
  <c r="H231" i="1"/>
  <c r="I231" i="1" s="1"/>
  <c r="F231" i="1"/>
  <c r="G231" i="1" s="1"/>
  <c r="H230" i="1"/>
  <c r="O230" i="1" s="1"/>
  <c r="F230" i="1"/>
  <c r="G230" i="1" s="1"/>
  <c r="H229" i="1"/>
  <c r="O229" i="1" s="1"/>
  <c r="F229" i="1"/>
  <c r="G229" i="1" s="1"/>
  <c r="H228" i="1"/>
  <c r="F228" i="1"/>
  <c r="G228" i="1" s="1"/>
  <c r="H227" i="1"/>
  <c r="O227" i="1" s="1"/>
  <c r="F227" i="1"/>
  <c r="G227" i="1" s="1"/>
  <c r="H226" i="1"/>
  <c r="I226" i="1" s="1"/>
  <c r="F226" i="1"/>
  <c r="G226" i="1" s="1"/>
  <c r="I225" i="1"/>
  <c r="H225" i="1"/>
  <c r="O225" i="1" s="1"/>
  <c r="P225" i="1" s="1"/>
  <c r="Q225" i="1" s="1"/>
  <c r="S225" i="1" s="1"/>
  <c r="F225" i="1"/>
  <c r="G225" i="1" s="1"/>
  <c r="H224" i="1"/>
  <c r="I224" i="1" s="1"/>
  <c r="F224" i="1"/>
  <c r="G224" i="1" s="1"/>
  <c r="H223" i="1"/>
  <c r="O223" i="1" s="1"/>
  <c r="F223" i="1"/>
  <c r="G223" i="1" s="1"/>
  <c r="H222" i="1"/>
  <c r="O222" i="1" s="1"/>
  <c r="F222" i="1"/>
  <c r="G222" i="1" s="1"/>
  <c r="H221" i="1"/>
  <c r="O221" i="1" s="1"/>
  <c r="F221" i="1"/>
  <c r="G221" i="1" s="1"/>
  <c r="H220" i="1"/>
  <c r="I220" i="1" s="1"/>
  <c r="F220" i="1"/>
  <c r="G220" i="1" s="1"/>
  <c r="H219" i="1"/>
  <c r="O219" i="1" s="1"/>
  <c r="P219" i="1" s="1"/>
  <c r="Q219" i="1" s="1"/>
  <c r="S219" i="1" s="1"/>
  <c r="F219" i="1"/>
  <c r="G219" i="1" s="1"/>
  <c r="H218" i="1"/>
  <c r="I218" i="1" s="1"/>
  <c r="F218" i="1"/>
  <c r="G218" i="1" s="1"/>
  <c r="H217" i="1"/>
  <c r="O217" i="1" s="1"/>
  <c r="F217" i="1"/>
  <c r="G217" i="1" s="1"/>
  <c r="H216" i="1"/>
  <c r="I216" i="1" s="1"/>
  <c r="F216" i="1"/>
  <c r="G216" i="1" s="1"/>
  <c r="H215" i="1"/>
  <c r="O215" i="1" s="1"/>
  <c r="P215" i="1" s="1"/>
  <c r="Q215" i="1" s="1"/>
  <c r="S215" i="1" s="1"/>
  <c r="F215" i="1"/>
  <c r="G215" i="1" s="1"/>
  <c r="H214" i="1"/>
  <c r="I214" i="1" s="1"/>
  <c r="F214" i="1"/>
  <c r="G214" i="1" s="1"/>
  <c r="H213" i="1"/>
  <c r="O213" i="1" s="1"/>
  <c r="F213" i="1"/>
  <c r="G213" i="1" s="1"/>
  <c r="H212" i="1"/>
  <c r="I212" i="1" s="1"/>
  <c r="F212" i="1"/>
  <c r="G212" i="1" s="1"/>
  <c r="H211" i="1"/>
  <c r="O211" i="1" s="1"/>
  <c r="P211" i="1" s="1"/>
  <c r="Q211" i="1" s="1"/>
  <c r="S211" i="1" s="1"/>
  <c r="F211" i="1"/>
  <c r="G211" i="1" s="1"/>
  <c r="H210" i="1"/>
  <c r="I210" i="1" s="1"/>
  <c r="F210" i="1"/>
  <c r="G210" i="1" s="1"/>
  <c r="H209" i="1"/>
  <c r="O209" i="1" s="1"/>
  <c r="F209" i="1"/>
  <c r="G209" i="1" s="1"/>
  <c r="H208" i="1"/>
  <c r="I208" i="1" s="1"/>
  <c r="F208" i="1"/>
  <c r="G208" i="1" s="1"/>
  <c r="I207" i="1"/>
  <c r="H207" i="1"/>
  <c r="O207" i="1" s="1"/>
  <c r="P207" i="1" s="1"/>
  <c r="Q207" i="1" s="1"/>
  <c r="S207" i="1" s="1"/>
  <c r="F207" i="1"/>
  <c r="G207" i="1" s="1"/>
  <c r="H206" i="1"/>
  <c r="I206" i="1" s="1"/>
  <c r="F206" i="1"/>
  <c r="G206" i="1" s="1"/>
  <c r="H205" i="1"/>
  <c r="O205" i="1" s="1"/>
  <c r="F205" i="1"/>
  <c r="G205" i="1" s="1"/>
  <c r="H204" i="1"/>
  <c r="I204" i="1" s="1"/>
  <c r="F204" i="1"/>
  <c r="G204" i="1" s="1"/>
  <c r="H203" i="1"/>
  <c r="O203" i="1" s="1"/>
  <c r="P203" i="1" s="1"/>
  <c r="Q203" i="1" s="1"/>
  <c r="S203" i="1" s="1"/>
  <c r="F203" i="1"/>
  <c r="G203" i="1" s="1"/>
  <c r="H202" i="1"/>
  <c r="I202" i="1" s="1"/>
  <c r="F202" i="1"/>
  <c r="G202" i="1" s="1"/>
  <c r="H201" i="1"/>
  <c r="O201" i="1" s="1"/>
  <c r="F201" i="1"/>
  <c r="G201" i="1" s="1"/>
  <c r="H200" i="1"/>
  <c r="I200" i="1" s="1"/>
  <c r="F200" i="1"/>
  <c r="G200" i="1" s="1"/>
  <c r="H199" i="1"/>
  <c r="O199" i="1" s="1"/>
  <c r="P199" i="1" s="1"/>
  <c r="Q199" i="1" s="1"/>
  <c r="S199" i="1" s="1"/>
  <c r="F199" i="1"/>
  <c r="G199" i="1" s="1"/>
  <c r="H198" i="1"/>
  <c r="I198" i="1" s="1"/>
  <c r="F198" i="1"/>
  <c r="G198" i="1" s="1"/>
  <c r="H197" i="1"/>
  <c r="O197" i="1" s="1"/>
  <c r="F197" i="1"/>
  <c r="G197" i="1" s="1"/>
  <c r="H196" i="1"/>
  <c r="I196" i="1" s="1"/>
  <c r="F196" i="1"/>
  <c r="G196" i="1" s="1"/>
  <c r="H195" i="1"/>
  <c r="O195" i="1" s="1"/>
  <c r="P195" i="1" s="1"/>
  <c r="Q195" i="1" s="1"/>
  <c r="S195" i="1" s="1"/>
  <c r="F195" i="1"/>
  <c r="G195" i="1" s="1"/>
  <c r="H194" i="1"/>
  <c r="I194" i="1" s="1"/>
  <c r="F194" i="1"/>
  <c r="G194" i="1" s="1"/>
  <c r="H193" i="1"/>
  <c r="O193" i="1" s="1"/>
  <c r="F193" i="1"/>
  <c r="G193" i="1" s="1"/>
  <c r="H192" i="1"/>
  <c r="I192" i="1" s="1"/>
  <c r="F192" i="1"/>
  <c r="G192" i="1" s="1"/>
  <c r="H191" i="1"/>
  <c r="O191" i="1" s="1"/>
  <c r="P191" i="1" s="1"/>
  <c r="Q191" i="1" s="1"/>
  <c r="S191" i="1" s="1"/>
  <c r="F191" i="1"/>
  <c r="G191" i="1" s="1"/>
  <c r="H190" i="1"/>
  <c r="I190" i="1" s="1"/>
  <c r="F190" i="1"/>
  <c r="G190" i="1" s="1"/>
  <c r="H189" i="1"/>
  <c r="O189" i="1" s="1"/>
  <c r="F189" i="1"/>
  <c r="G189" i="1" s="1"/>
  <c r="H188" i="1"/>
  <c r="I188" i="1" s="1"/>
  <c r="F188" i="1"/>
  <c r="G188" i="1" s="1"/>
  <c r="H187" i="1"/>
  <c r="O187" i="1" s="1"/>
  <c r="P187" i="1" s="1"/>
  <c r="Q187" i="1" s="1"/>
  <c r="S187" i="1" s="1"/>
  <c r="F187" i="1"/>
  <c r="G187" i="1" s="1"/>
  <c r="H186" i="1"/>
  <c r="I186" i="1" s="1"/>
  <c r="F186" i="1"/>
  <c r="G186" i="1" s="1"/>
  <c r="H185" i="1"/>
  <c r="O185" i="1" s="1"/>
  <c r="F185" i="1"/>
  <c r="G185" i="1" s="1"/>
  <c r="H184" i="1"/>
  <c r="I184" i="1" s="1"/>
  <c r="F184" i="1"/>
  <c r="G184" i="1" s="1"/>
  <c r="H183" i="1"/>
  <c r="O183" i="1" s="1"/>
  <c r="P183" i="1" s="1"/>
  <c r="Q183" i="1" s="1"/>
  <c r="S183" i="1" s="1"/>
  <c r="F183" i="1"/>
  <c r="G183" i="1" s="1"/>
  <c r="H182" i="1"/>
  <c r="I182" i="1" s="1"/>
  <c r="F182" i="1"/>
  <c r="G182" i="1" s="1"/>
  <c r="H181" i="1"/>
  <c r="O181" i="1" s="1"/>
  <c r="F181" i="1"/>
  <c r="G181" i="1" s="1"/>
  <c r="H180" i="1"/>
  <c r="I180" i="1" s="1"/>
  <c r="F180" i="1"/>
  <c r="G180" i="1" s="1"/>
  <c r="I179" i="1"/>
  <c r="H179" i="1"/>
  <c r="O179" i="1" s="1"/>
  <c r="P179" i="1" s="1"/>
  <c r="Q179" i="1" s="1"/>
  <c r="S179" i="1" s="1"/>
  <c r="F179" i="1"/>
  <c r="G179" i="1" s="1"/>
  <c r="H178" i="1"/>
  <c r="I178" i="1" s="1"/>
  <c r="F178" i="1"/>
  <c r="G178" i="1" s="1"/>
  <c r="H177" i="1"/>
  <c r="O177" i="1" s="1"/>
  <c r="F177" i="1"/>
  <c r="G177" i="1" s="1"/>
  <c r="H176" i="1"/>
  <c r="I176" i="1" s="1"/>
  <c r="F176" i="1"/>
  <c r="G176" i="1" s="1"/>
  <c r="H175" i="1"/>
  <c r="O175" i="1" s="1"/>
  <c r="P175" i="1" s="1"/>
  <c r="Q175" i="1" s="1"/>
  <c r="S175" i="1" s="1"/>
  <c r="F175" i="1"/>
  <c r="G175" i="1" s="1"/>
  <c r="H174" i="1"/>
  <c r="I174" i="1" s="1"/>
  <c r="F174" i="1"/>
  <c r="G174" i="1" s="1"/>
  <c r="H173" i="1"/>
  <c r="O173" i="1" s="1"/>
  <c r="F173" i="1"/>
  <c r="G173" i="1" s="1"/>
  <c r="H172" i="1"/>
  <c r="I172" i="1" s="1"/>
  <c r="F172" i="1"/>
  <c r="G172" i="1" s="1"/>
  <c r="H171" i="1"/>
  <c r="O171" i="1" s="1"/>
  <c r="P171" i="1" s="1"/>
  <c r="Q171" i="1" s="1"/>
  <c r="S171" i="1" s="1"/>
  <c r="F171" i="1"/>
  <c r="G171" i="1" s="1"/>
  <c r="H170" i="1"/>
  <c r="O170" i="1" s="1"/>
  <c r="P170" i="1" s="1"/>
  <c r="Q170" i="1" s="1"/>
  <c r="S170" i="1" s="1"/>
  <c r="F170" i="1"/>
  <c r="G170" i="1" s="1"/>
  <c r="H169" i="1"/>
  <c r="I169" i="1" s="1"/>
  <c r="F169" i="1"/>
  <c r="G169" i="1" s="1"/>
  <c r="H168" i="1"/>
  <c r="O168" i="1" s="1"/>
  <c r="F168" i="1"/>
  <c r="G168" i="1" s="1"/>
  <c r="H167" i="1"/>
  <c r="I167" i="1" s="1"/>
  <c r="F167" i="1"/>
  <c r="G167" i="1" s="1"/>
  <c r="H166" i="1"/>
  <c r="O166" i="1" s="1"/>
  <c r="P166" i="1" s="1"/>
  <c r="Q166" i="1" s="1"/>
  <c r="S166" i="1" s="1"/>
  <c r="F166" i="1"/>
  <c r="G166" i="1" s="1"/>
  <c r="H165" i="1"/>
  <c r="I165" i="1" s="1"/>
  <c r="F165" i="1"/>
  <c r="G165" i="1" s="1"/>
  <c r="H164" i="1"/>
  <c r="O164" i="1" s="1"/>
  <c r="F164" i="1"/>
  <c r="G164" i="1" s="1"/>
  <c r="O163" i="1"/>
  <c r="P163" i="1" s="1"/>
  <c r="Q163" i="1" s="1"/>
  <c r="S163" i="1" s="1"/>
  <c r="O162" i="1"/>
  <c r="P162" i="1" s="1"/>
  <c r="Q162" i="1" s="1"/>
  <c r="S162" i="1" s="1"/>
  <c r="J162" i="1" s="1"/>
  <c r="H161" i="1"/>
  <c r="I161" i="1" s="1"/>
  <c r="F161" i="1"/>
  <c r="G161" i="1" s="1"/>
  <c r="H160" i="1"/>
  <c r="I160" i="1" s="1"/>
  <c r="F160" i="1"/>
  <c r="G160" i="1" s="1"/>
  <c r="H159" i="1"/>
  <c r="I159" i="1" s="1"/>
  <c r="F159" i="1"/>
  <c r="G159" i="1" s="1"/>
  <c r="H158" i="1"/>
  <c r="O158" i="1" s="1"/>
  <c r="P158" i="1" s="1"/>
  <c r="Q158" i="1" s="1"/>
  <c r="S158" i="1" s="1"/>
  <c r="F158" i="1"/>
  <c r="G158" i="1" s="1"/>
  <c r="H157" i="1"/>
  <c r="I157" i="1" s="1"/>
  <c r="F157" i="1"/>
  <c r="G157" i="1" s="1"/>
  <c r="O156" i="1"/>
  <c r="P156" i="1" s="1"/>
  <c r="Q156" i="1" s="1"/>
  <c r="S156" i="1" s="1"/>
  <c r="J156" i="1" s="1"/>
  <c r="Y156" i="1" s="1"/>
  <c r="I156" i="1"/>
  <c r="F156" i="1"/>
  <c r="G156" i="1" s="1"/>
  <c r="H155" i="1"/>
  <c r="O155" i="1" s="1"/>
  <c r="P155" i="1" s="1"/>
  <c r="Q155" i="1" s="1"/>
  <c r="S155" i="1" s="1"/>
  <c r="F155" i="1"/>
  <c r="G155" i="1" s="1"/>
  <c r="H154" i="1"/>
  <c r="I154" i="1" s="1"/>
  <c r="F154" i="1"/>
  <c r="G154" i="1" s="1"/>
  <c r="H153" i="1"/>
  <c r="O153" i="1" s="1"/>
  <c r="F153" i="1"/>
  <c r="G153" i="1" s="1"/>
  <c r="H152" i="1"/>
  <c r="I152" i="1" s="1"/>
  <c r="F152" i="1"/>
  <c r="G152" i="1" s="1"/>
  <c r="H151" i="1"/>
  <c r="O151" i="1" s="1"/>
  <c r="P151" i="1" s="1"/>
  <c r="Q151" i="1" s="1"/>
  <c r="S151" i="1" s="1"/>
  <c r="F151" i="1"/>
  <c r="G151" i="1" s="1"/>
  <c r="H150" i="1"/>
  <c r="I150" i="1" s="1"/>
  <c r="F150" i="1"/>
  <c r="G150" i="1" s="1"/>
  <c r="O149" i="1"/>
  <c r="P149" i="1" s="1"/>
  <c r="Q149" i="1" s="1"/>
  <c r="S149" i="1" s="1"/>
  <c r="J149" i="1" s="1"/>
  <c r="Y149" i="1" s="1"/>
  <c r="F149" i="1"/>
  <c r="G149" i="1" s="1"/>
  <c r="O148" i="1"/>
  <c r="P148" i="1" s="1"/>
  <c r="Q148" i="1" s="1"/>
  <c r="S148" i="1" s="1"/>
  <c r="J148" i="1" s="1"/>
  <c r="F148" i="1"/>
  <c r="G148" i="1" s="1"/>
  <c r="H147" i="1"/>
  <c r="O147" i="1" s="1"/>
  <c r="F147" i="1"/>
  <c r="G147" i="1" s="1"/>
  <c r="H146" i="1"/>
  <c r="O146" i="1" s="1"/>
  <c r="F146" i="1"/>
  <c r="G146" i="1" s="1"/>
  <c r="H145" i="1"/>
  <c r="O145" i="1" s="1"/>
  <c r="F145" i="1"/>
  <c r="G145" i="1" s="1"/>
  <c r="H144" i="1"/>
  <c r="I144" i="1" s="1"/>
  <c r="F144" i="1"/>
  <c r="G144" i="1" s="1"/>
  <c r="H143" i="1"/>
  <c r="O143" i="1" s="1"/>
  <c r="P143" i="1" s="1"/>
  <c r="Q143" i="1" s="1"/>
  <c r="S143" i="1" s="1"/>
  <c r="F143" i="1"/>
  <c r="G143" i="1" s="1"/>
  <c r="H142" i="1"/>
  <c r="I142" i="1" s="1"/>
  <c r="F142" i="1"/>
  <c r="G142" i="1" s="1"/>
  <c r="H141" i="1"/>
  <c r="O141" i="1" s="1"/>
  <c r="F141" i="1"/>
  <c r="G141" i="1" s="1"/>
  <c r="H140" i="1"/>
  <c r="I140" i="1" s="1"/>
  <c r="F140" i="1"/>
  <c r="G140" i="1" s="1"/>
  <c r="H139" i="1"/>
  <c r="O139" i="1" s="1"/>
  <c r="P139" i="1" s="1"/>
  <c r="Q139" i="1" s="1"/>
  <c r="S139" i="1" s="1"/>
  <c r="F139" i="1"/>
  <c r="G139" i="1" s="1"/>
  <c r="H138" i="1"/>
  <c r="I138" i="1" s="1"/>
  <c r="F138" i="1"/>
  <c r="G138" i="1" s="1"/>
  <c r="H137" i="1"/>
  <c r="O137" i="1" s="1"/>
  <c r="F137" i="1"/>
  <c r="G137" i="1" s="1"/>
  <c r="H136" i="1"/>
  <c r="I136" i="1" s="1"/>
  <c r="F136" i="1"/>
  <c r="G136" i="1" s="1"/>
  <c r="H135" i="1"/>
  <c r="I135" i="1" s="1"/>
  <c r="F135" i="1"/>
  <c r="G135" i="1" s="1"/>
  <c r="I134" i="1"/>
  <c r="H134" i="1"/>
  <c r="O134" i="1" s="1"/>
  <c r="P134" i="1" s="1"/>
  <c r="Q134" i="1" s="1"/>
  <c r="S134" i="1" s="1"/>
  <c r="F134" i="1"/>
  <c r="G134" i="1" s="1"/>
  <c r="H133" i="1"/>
  <c r="I133" i="1" s="1"/>
  <c r="F133" i="1"/>
  <c r="G133" i="1" s="1"/>
  <c r="H132" i="1"/>
  <c r="I132" i="1" s="1"/>
  <c r="F132" i="1"/>
  <c r="G132" i="1" s="1"/>
  <c r="H131" i="1"/>
  <c r="O131" i="1" s="1"/>
  <c r="F131" i="1"/>
  <c r="G131" i="1" s="1"/>
  <c r="H130" i="1"/>
  <c r="I130" i="1" s="1"/>
  <c r="F130" i="1"/>
  <c r="G130" i="1" s="1"/>
  <c r="I129" i="1"/>
  <c r="H129" i="1"/>
  <c r="O129" i="1" s="1"/>
  <c r="P129" i="1" s="1"/>
  <c r="Q129" i="1" s="1"/>
  <c r="S129" i="1" s="1"/>
  <c r="F129" i="1"/>
  <c r="G129" i="1" s="1"/>
  <c r="H128" i="1"/>
  <c r="I128" i="1" s="1"/>
  <c r="F128" i="1"/>
  <c r="G128" i="1" s="1"/>
  <c r="H127" i="1"/>
  <c r="O127" i="1" s="1"/>
  <c r="F127" i="1"/>
  <c r="G127" i="1" s="1"/>
  <c r="H126" i="1"/>
  <c r="I126" i="1" s="1"/>
  <c r="F126" i="1"/>
  <c r="G126" i="1" s="1"/>
  <c r="O125" i="1"/>
  <c r="P125" i="1" s="1"/>
  <c r="Q125" i="1" s="1"/>
  <c r="S125" i="1" s="1"/>
  <c r="J125" i="1" s="1"/>
  <c r="Y125" i="1" s="1"/>
  <c r="H124" i="1"/>
  <c r="I124" i="1" s="1"/>
  <c r="F124" i="1"/>
  <c r="G124" i="1" s="1"/>
  <c r="H123" i="1"/>
  <c r="O123" i="1" s="1"/>
  <c r="P123" i="1" s="1"/>
  <c r="Q123" i="1" s="1"/>
  <c r="S123" i="1" s="1"/>
  <c r="F123" i="1"/>
  <c r="G123" i="1" s="1"/>
  <c r="H122" i="1"/>
  <c r="I122" i="1" s="1"/>
  <c r="F122" i="1"/>
  <c r="G122" i="1" s="1"/>
  <c r="H121" i="1"/>
  <c r="O121" i="1" s="1"/>
  <c r="F121" i="1"/>
  <c r="G121" i="1" s="1"/>
  <c r="H120" i="1"/>
  <c r="I120" i="1" s="1"/>
  <c r="F120" i="1"/>
  <c r="G120" i="1" s="1"/>
  <c r="H119" i="1"/>
  <c r="O119" i="1" s="1"/>
  <c r="P119" i="1" s="1"/>
  <c r="Q119" i="1" s="1"/>
  <c r="S119" i="1" s="1"/>
  <c r="F119" i="1"/>
  <c r="G119" i="1" s="1"/>
  <c r="H118" i="1"/>
  <c r="I118" i="1" s="1"/>
  <c r="F118" i="1"/>
  <c r="G118" i="1" s="1"/>
  <c r="H117" i="1"/>
  <c r="I117" i="1" s="1"/>
  <c r="F117" i="1"/>
  <c r="G117" i="1" s="1"/>
  <c r="H116" i="1"/>
  <c r="O116" i="1" s="1"/>
  <c r="F116" i="1"/>
  <c r="G116" i="1" s="1"/>
  <c r="O115" i="1"/>
  <c r="P115" i="1" s="1"/>
  <c r="Q115" i="1" s="1"/>
  <c r="S115" i="1" s="1"/>
  <c r="H114" i="1"/>
  <c r="O114" i="1" s="1"/>
  <c r="P114" i="1" s="1"/>
  <c r="Q114" i="1" s="1"/>
  <c r="S114" i="1" s="1"/>
  <c r="F114" i="1"/>
  <c r="G114" i="1" s="1"/>
  <c r="H113" i="1"/>
  <c r="I113" i="1" s="1"/>
  <c r="F113" i="1"/>
  <c r="G113" i="1" s="1"/>
  <c r="H112" i="1"/>
  <c r="O112" i="1" s="1"/>
  <c r="F112" i="1"/>
  <c r="G112" i="1" s="1"/>
  <c r="H111" i="1"/>
  <c r="I111" i="1" s="1"/>
  <c r="F111" i="1"/>
  <c r="G111" i="1" s="1"/>
  <c r="H110" i="1"/>
  <c r="O110" i="1" s="1"/>
  <c r="P110" i="1" s="1"/>
  <c r="Q110" i="1" s="1"/>
  <c r="S110" i="1" s="1"/>
  <c r="F110" i="1"/>
  <c r="G110" i="1" s="1"/>
  <c r="H109" i="1"/>
  <c r="I109" i="1" s="1"/>
  <c r="F109" i="1"/>
  <c r="G109" i="1" s="1"/>
  <c r="H108" i="1"/>
  <c r="O108" i="1" s="1"/>
  <c r="F108" i="1"/>
  <c r="G108" i="1" s="1"/>
  <c r="O107" i="1"/>
  <c r="P107" i="1" s="1"/>
  <c r="Q107" i="1" s="1"/>
  <c r="S107" i="1" s="1"/>
  <c r="H106" i="1"/>
  <c r="O106" i="1" s="1"/>
  <c r="P106" i="1" s="1"/>
  <c r="Q106" i="1" s="1"/>
  <c r="S106" i="1" s="1"/>
  <c r="F106" i="1"/>
  <c r="G106" i="1" s="1"/>
  <c r="H105" i="1"/>
  <c r="I105" i="1" s="1"/>
  <c r="F105" i="1"/>
  <c r="G105" i="1" s="1"/>
  <c r="H104" i="1"/>
  <c r="O104" i="1" s="1"/>
  <c r="F104" i="1"/>
  <c r="G104" i="1" s="1"/>
  <c r="H103" i="1"/>
  <c r="I103" i="1" s="1"/>
  <c r="F103" i="1"/>
  <c r="G103" i="1" s="1"/>
  <c r="H102" i="1"/>
  <c r="O102" i="1" s="1"/>
  <c r="P102" i="1" s="1"/>
  <c r="Q102" i="1" s="1"/>
  <c r="S102" i="1" s="1"/>
  <c r="F102" i="1"/>
  <c r="G102" i="1" s="1"/>
  <c r="H101" i="1"/>
  <c r="I101" i="1" s="1"/>
  <c r="F101" i="1"/>
  <c r="G101" i="1" s="1"/>
  <c r="H100" i="1"/>
  <c r="O100" i="1" s="1"/>
  <c r="F100" i="1"/>
  <c r="G100" i="1" s="1"/>
  <c r="H99" i="1"/>
  <c r="I99" i="1" s="1"/>
  <c r="F99" i="1"/>
  <c r="G99" i="1" s="1"/>
  <c r="H98" i="1"/>
  <c r="O98" i="1" s="1"/>
  <c r="P98" i="1" s="1"/>
  <c r="Q98" i="1" s="1"/>
  <c r="S98" i="1" s="1"/>
  <c r="F98" i="1"/>
  <c r="G98" i="1" s="1"/>
  <c r="H97" i="1"/>
  <c r="I97" i="1" s="1"/>
  <c r="F97" i="1"/>
  <c r="G97" i="1" s="1"/>
  <c r="H96" i="1"/>
  <c r="O96" i="1" s="1"/>
  <c r="F96" i="1"/>
  <c r="G96" i="1" s="1"/>
  <c r="H95" i="1"/>
  <c r="I95" i="1" s="1"/>
  <c r="F95" i="1"/>
  <c r="G95" i="1" s="1"/>
  <c r="H94" i="1"/>
  <c r="O94" i="1" s="1"/>
  <c r="P94" i="1" s="1"/>
  <c r="Q94" i="1" s="1"/>
  <c r="S94" i="1" s="1"/>
  <c r="F94" i="1"/>
  <c r="G94" i="1" s="1"/>
  <c r="H93" i="1"/>
  <c r="I93" i="1" s="1"/>
  <c r="F93" i="1"/>
  <c r="G93" i="1" s="1"/>
  <c r="H92" i="1"/>
  <c r="O92" i="1" s="1"/>
  <c r="P92" i="1" s="1"/>
  <c r="Q92" i="1" s="1"/>
  <c r="S92" i="1" s="1"/>
  <c r="F92" i="1"/>
  <c r="G92" i="1" s="1"/>
  <c r="H91" i="1"/>
  <c r="I91" i="1" s="1"/>
  <c r="F91" i="1"/>
  <c r="G91" i="1" s="1"/>
  <c r="O90" i="1"/>
  <c r="P90" i="1" s="1"/>
  <c r="Q90" i="1" s="1"/>
  <c r="S90" i="1" s="1"/>
  <c r="J90" i="1" s="1"/>
  <c r="I90" i="1"/>
  <c r="F90" i="1"/>
  <c r="G90" i="1" s="1"/>
  <c r="H89" i="1"/>
  <c r="I89" i="1" s="1"/>
  <c r="F89" i="1"/>
  <c r="G89" i="1" s="1"/>
  <c r="H88" i="1"/>
  <c r="I88" i="1" s="1"/>
  <c r="F88" i="1"/>
  <c r="G88" i="1" s="1"/>
  <c r="H87" i="1"/>
  <c r="O87" i="1" s="1"/>
  <c r="F87" i="1"/>
  <c r="G87" i="1" s="1"/>
  <c r="H86" i="1"/>
  <c r="I86" i="1" s="1"/>
  <c r="F86" i="1"/>
  <c r="G86" i="1" s="1"/>
  <c r="H85" i="1"/>
  <c r="O85" i="1" s="1"/>
  <c r="P85" i="1" s="1"/>
  <c r="Q85" i="1" s="1"/>
  <c r="S85" i="1" s="1"/>
  <c r="F85" i="1"/>
  <c r="G85" i="1" s="1"/>
  <c r="H84" i="1"/>
  <c r="I84" i="1" s="1"/>
  <c r="F84" i="1"/>
  <c r="G84" i="1" s="1"/>
  <c r="H83" i="1"/>
  <c r="O83" i="1" s="1"/>
  <c r="F83" i="1"/>
  <c r="G83" i="1" s="1"/>
  <c r="H82" i="1"/>
  <c r="I82" i="1" s="1"/>
  <c r="F82" i="1"/>
  <c r="G82" i="1" s="1"/>
  <c r="I81" i="1"/>
  <c r="H81" i="1"/>
  <c r="O81" i="1" s="1"/>
  <c r="P81" i="1" s="1"/>
  <c r="Q81" i="1" s="1"/>
  <c r="S81" i="1" s="1"/>
  <c r="F81" i="1"/>
  <c r="G81" i="1" s="1"/>
  <c r="H80" i="1"/>
  <c r="I80" i="1" s="1"/>
  <c r="F80" i="1"/>
  <c r="G80" i="1" s="1"/>
  <c r="H79" i="1"/>
  <c r="O79" i="1" s="1"/>
  <c r="F79" i="1"/>
  <c r="G79" i="1" s="1"/>
  <c r="H78" i="1"/>
  <c r="I78" i="1" s="1"/>
  <c r="F78" i="1"/>
  <c r="G78" i="1" s="1"/>
  <c r="I77" i="1"/>
  <c r="H77" i="1"/>
  <c r="O77" i="1" s="1"/>
  <c r="P77" i="1" s="1"/>
  <c r="Q77" i="1" s="1"/>
  <c r="S77" i="1" s="1"/>
  <c r="F77" i="1"/>
  <c r="G77" i="1" s="1"/>
  <c r="H76" i="1"/>
  <c r="I76" i="1" s="1"/>
  <c r="F76" i="1"/>
  <c r="G76" i="1" s="1"/>
  <c r="H75" i="1"/>
  <c r="O75" i="1" s="1"/>
  <c r="F75" i="1"/>
  <c r="G75" i="1" s="1"/>
  <c r="H74" i="1"/>
  <c r="I74" i="1" s="1"/>
  <c r="F74" i="1"/>
  <c r="G74" i="1" s="1"/>
  <c r="H73" i="1"/>
  <c r="O73" i="1" s="1"/>
  <c r="P73" i="1" s="1"/>
  <c r="Q73" i="1" s="1"/>
  <c r="S73" i="1" s="1"/>
  <c r="F73" i="1"/>
  <c r="G73" i="1" s="1"/>
  <c r="H72" i="1"/>
  <c r="I72" i="1" s="1"/>
  <c r="F72" i="1"/>
  <c r="G72" i="1" s="1"/>
  <c r="H71" i="1"/>
  <c r="O71" i="1" s="1"/>
  <c r="F71" i="1"/>
  <c r="G71" i="1" s="1"/>
  <c r="H70" i="1"/>
  <c r="I70" i="1" s="1"/>
  <c r="F70" i="1"/>
  <c r="G70" i="1" s="1"/>
  <c r="H69" i="1"/>
  <c r="O69" i="1" s="1"/>
  <c r="P69" i="1" s="1"/>
  <c r="Q69" i="1" s="1"/>
  <c r="S69" i="1" s="1"/>
  <c r="F69" i="1"/>
  <c r="G69" i="1" s="1"/>
  <c r="H68" i="1"/>
  <c r="I68" i="1" s="1"/>
  <c r="F68" i="1"/>
  <c r="G68" i="1" s="1"/>
  <c r="H67" i="1"/>
  <c r="O67" i="1" s="1"/>
  <c r="F67" i="1"/>
  <c r="G67" i="1" s="1"/>
  <c r="H66" i="1"/>
  <c r="I66" i="1" s="1"/>
  <c r="F66" i="1"/>
  <c r="G66" i="1" s="1"/>
  <c r="I65" i="1"/>
  <c r="H65" i="1"/>
  <c r="O65" i="1" s="1"/>
  <c r="P65" i="1" s="1"/>
  <c r="Q65" i="1" s="1"/>
  <c r="S65" i="1" s="1"/>
  <c r="F65" i="1"/>
  <c r="G65" i="1" s="1"/>
  <c r="H64" i="1"/>
  <c r="I64" i="1" s="1"/>
  <c r="F64" i="1"/>
  <c r="G64" i="1" s="1"/>
  <c r="H63" i="1"/>
  <c r="O63" i="1" s="1"/>
  <c r="F63" i="1"/>
  <c r="G63" i="1" s="1"/>
  <c r="H62" i="1"/>
  <c r="I62" i="1" s="1"/>
  <c r="F62" i="1"/>
  <c r="G62" i="1" s="1"/>
  <c r="H61" i="1"/>
  <c r="O61" i="1" s="1"/>
  <c r="P61" i="1" s="1"/>
  <c r="Q61" i="1" s="1"/>
  <c r="S61" i="1" s="1"/>
  <c r="F61" i="1"/>
  <c r="G61" i="1" s="1"/>
  <c r="H60" i="1"/>
  <c r="I60" i="1" s="1"/>
  <c r="F60" i="1"/>
  <c r="G60" i="1" s="1"/>
  <c r="H59" i="1"/>
  <c r="O59" i="1" s="1"/>
  <c r="F59" i="1"/>
  <c r="G59" i="1" s="1"/>
  <c r="H58" i="1"/>
  <c r="I58" i="1" s="1"/>
  <c r="F58" i="1"/>
  <c r="G58" i="1" s="1"/>
  <c r="H57" i="1"/>
  <c r="O57" i="1" s="1"/>
  <c r="P57" i="1" s="1"/>
  <c r="Q57" i="1" s="1"/>
  <c r="S57" i="1" s="1"/>
  <c r="F57" i="1"/>
  <c r="G57" i="1" s="1"/>
  <c r="H56" i="1"/>
  <c r="I56" i="1" s="1"/>
  <c r="F56" i="1"/>
  <c r="G56" i="1" s="1"/>
  <c r="H55" i="1"/>
  <c r="O55" i="1" s="1"/>
  <c r="F55" i="1"/>
  <c r="G55" i="1" s="1"/>
  <c r="H54" i="1"/>
  <c r="I54" i="1" s="1"/>
  <c r="F54" i="1"/>
  <c r="G54" i="1" s="1"/>
  <c r="H53" i="1"/>
  <c r="O53" i="1" s="1"/>
  <c r="P53" i="1" s="1"/>
  <c r="Q53" i="1" s="1"/>
  <c r="S53" i="1" s="1"/>
  <c r="F53" i="1"/>
  <c r="G53" i="1" s="1"/>
  <c r="H52" i="1"/>
  <c r="I52" i="1" s="1"/>
  <c r="F52" i="1"/>
  <c r="G52" i="1" s="1"/>
  <c r="H51" i="1"/>
  <c r="O51" i="1" s="1"/>
  <c r="F51" i="1"/>
  <c r="G51" i="1" s="1"/>
  <c r="H50" i="1"/>
  <c r="I50" i="1" s="1"/>
  <c r="F50" i="1"/>
  <c r="G50" i="1" s="1"/>
  <c r="H49" i="1"/>
  <c r="O49" i="1" s="1"/>
  <c r="P49" i="1" s="1"/>
  <c r="Q49" i="1" s="1"/>
  <c r="S49" i="1" s="1"/>
  <c r="F49" i="1"/>
  <c r="G49" i="1" s="1"/>
  <c r="H48" i="1"/>
  <c r="I48" i="1" s="1"/>
  <c r="F48" i="1"/>
  <c r="G48" i="1" s="1"/>
  <c r="H47" i="1"/>
  <c r="O47" i="1" s="1"/>
  <c r="F47" i="1"/>
  <c r="G47" i="1" s="1"/>
  <c r="H46" i="1"/>
  <c r="I46" i="1" s="1"/>
  <c r="F46" i="1"/>
  <c r="G46" i="1" s="1"/>
  <c r="H45" i="1"/>
  <c r="O45" i="1" s="1"/>
  <c r="P45" i="1" s="1"/>
  <c r="Q45" i="1" s="1"/>
  <c r="S45" i="1" s="1"/>
  <c r="F45" i="1"/>
  <c r="G45" i="1" s="1"/>
  <c r="H44" i="1"/>
  <c r="I44" i="1" s="1"/>
  <c r="F44" i="1"/>
  <c r="G44" i="1" s="1"/>
  <c r="H43" i="1"/>
  <c r="O43" i="1" s="1"/>
  <c r="F43" i="1"/>
  <c r="G43" i="1" s="1"/>
  <c r="H42" i="1"/>
  <c r="I42" i="1" s="1"/>
  <c r="F42" i="1"/>
  <c r="G42" i="1" s="1"/>
  <c r="H41" i="1"/>
  <c r="O41" i="1" s="1"/>
  <c r="P41" i="1" s="1"/>
  <c r="Q41" i="1" s="1"/>
  <c r="S41" i="1" s="1"/>
  <c r="F41" i="1"/>
  <c r="G41" i="1" s="1"/>
  <c r="H40" i="1"/>
  <c r="I40" i="1" s="1"/>
  <c r="F40" i="1"/>
  <c r="G40" i="1" s="1"/>
  <c r="H39" i="1"/>
  <c r="O39" i="1" s="1"/>
  <c r="F39" i="1"/>
  <c r="G39" i="1" s="1"/>
  <c r="H38" i="1"/>
  <c r="I38" i="1" s="1"/>
  <c r="F38" i="1"/>
  <c r="G38" i="1" s="1"/>
  <c r="O37" i="1"/>
  <c r="P37" i="1" s="1"/>
  <c r="Q37" i="1" s="1"/>
  <c r="S37" i="1" s="1"/>
  <c r="J37" i="1" s="1"/>
  <c r="F37" i="1"/>
  <c r="G37" i="1" s="1"/>
  <c r="H36" i="1"/>
  <c r="O36" i="1" s="1"/>
  <c r="F36" i="1"/>
  <c r="G36" i="1" s="1"/>
  <c r="H35" i="1"/>
  <c r="O35" i="1" s="1"/>
  <c r="F35" i="1"/>
  <c r="G35" i="1" s="1"/>
  <c r="H34" i="1"/>
  <c r="I34" i="1" s="1"/>
  <c r="F34" i="1"/>
  <c r="G34" i="1" s="1"/>
  <c r="I33" i="1"/>
  <c r="H33" i="1"/>
  <c r="O33" i="1" s="1"/>
  <c r="P33" i="1" s="1"/>
  <c r="Q33" i="1" s="1"/>
  <c r="S33" i="1" s="1"/>
  <c r="F33" i="1"/>
  <c r="G33" i="1" s="1"/>
  <c r="H32" i="1"/>
  <c r="I32" i="1" s="1"/>
  <c r="F32" i="1"/>
  <c r="G32" i="1" s="1"/>
  <c r="H31" i="1"/>
  <c r="O31" i="1" s="1"/>
  <c r="F31" i="1"/>
  <c r="G31" i="1" s="1"/>
  <c r="H30" i="1"/>
  <c r="I30" i="1" s="1"/>
  <c r="F30" i="1"/>
  <c r="G30" i="1" s="1"/>
  <c r="H29" i="1"/>
  <c r="O29" i="1" s="1"/>
  <c r="P29" i="1" s="1"/>
  <c r="Q29" i="1" s="1"/>
  <c r="S29" i="1" s="1"/>
  <c r="F29" i="1"/>
  <c r="G29" i="1" s="1"/>
  <c r="O28" i="1"/>
  <c r="P28" i="1" s="1"/>
  <c r="Q28" i="1" s="1"/>
  <c r="S28" i="1" s="1"/>
  <c r="J28" i="1" s="1"/>
  <c r="I28" i="1"/>
  <c r="F28" i="1"/>
  <c r="G28" i="1" s="1"/>
  <c r="H27" i="1"/>
  <c r="O27" i="1" s="1"/>
  <c r="P27" i="1" s="1"/>
  <c r="Q27" i="1" s="1"/>
  <c r="S27" i="1" s="1"/>
  <c r="F27" i="1"/>
  <c r="G27" i="1" s="1"/>
  <c r="H26" i="1"/>
  <c r="I26" i="1" s="1"/>
  <c r="F26" i="1"/>
  <c r="G26" i="1" s="1"/>
  <c r="H25" i="1"/>
  <c r="O25" i="1" s="1"/>
  <c r="F25" i="1"/>
  <c r="G25" i="1" s="1"/>
  <c r="H24" i="1"/>
  <c r="I24" i="1" s="1"/>
  <c r="F24" i="1"/>
  <c r="G24" i="1" s="1"/>
  <c r="H23" i="1"/>
  <c r="O23" i="1" s="1"/>
  <c r="P23" i="1" s="1"/>
  <c r="Q23" i="1" s="1"/>
  <c r="S23" i="1" s="1"/>
  <c r="F23" i="1"/>
  <c r="G23" i="1" s="1"/>
  <c r="H22" i="1"/>
  <c r="I22" i="1" s="1"/>
  <c r="F22" i="1"/>
  <c r="G22" i="1" s="1"/>
  <c r="H21" i="1"/>
  <c r="O21" i="1" s="1"/>
  <c r="F21" i="1"/>
  <c r="G21" i="1" s="1"/>
  <c r="H20" i="1"/>
  <c r="I20" i="1" s="1"/>
  <c r="F20" i="1"/>
  <c r="G20" i="1" s="1"/>
  <c r="H19" i="1"/>
  <c r="O19" i="1" s="1"/>
  <c r="P19" i="1" s="1"/>
  <c r="Q19" i="1" s="1"/>
  <c r="S19" i="1" s="1"/>
  <c r="F19" i="1"/>
  <c r="G19" i="1" s="1"/>
  <c r="H18" i="1"/>
  <c r="I18" i="1" s="1"/>
  <c r="F18" i="1"/>
  <c r="G18" i="1" s="1"/>
  <c r="H17" i="1"/>
  <c r="O17" i="1" s="1"/>
  <c r="F17" i="1"/>
  <c r="G17" i="1" s="1"/>
  <c r="H16" i="1"/>
  <c r="I16" i="1" s="1"/>
  <c r="F16" i="1"/>
  <c r="G16" i="1" s="1"/>
  <c r="H15" i="1"/>
  <c r="O15" i="1" s="1"/>
  <c r="P15" i="1" s="1"/>
  <c r="Q15" i="1" s="1"/>
  <c r="S15" i="1" s="1"/>
  <c r="F15" i="1"/>
  <c r="G15" i="1" s="1"/>
  <c r="H14" i="1"/>
  <c r="I14" i="1" s="1"/>
  <c r="F14" i="1"/>
  <c r="G14" i="1" s="1"/>
  <c r="H13" i="1"/>
  <c r="O13" i="1" s="1"/>
  <c r="F13" i="1"/>
  <c r="G13" i="1" s="1"/>
  <c r="H12" i="1"/>
  <c r="I12" i="1" s="1"/>
  <c r="F12" i="1"/>
  <c r="G12" i="1" s="1"/>
  <c r="H11" i="1"/>
  <c r="O11" i="1" s="1"/>
  <c r="P11" i="1" s="1"/>
  <c r="Q11" i="1" s="1"/>
  <c r="S11" i="1" s="1"/>
  <c r="F11" i="1"/>
  <c r="G11" i="1" s="1"/>
  <c r="H10" i="1"/>
  <c r="I10" i="1" s="1"/>
  <c r="F10" i="1"/>
  <c r="G10" i="1" s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9" i="1" s="1"/>
  <c r="B30" i="1" s="1"/>
  <c r="B31" i="1" s="1"/>
  <c r="B32" i="1" s="1"/>
  <c r="B33" i="1" s="1"/>
  <c r="B34" i="1" s="1"/>
  <c r="B35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4" i="1" s="1"/>
  <c r="B135" i="1" s="1"/>
  <c r="B137" i="1" s="1"/>
  <c r="B138" i="1" s="1"/>
  <c r="B139" i="1" s="1"/>
  <c r="B140" i="1" s="1"/>
  <c r="B141" i="1" s="1"/>
  <c r="B142" i="1" s="1"/>
  <c r="B143" i="1" s="1"/>
  <c r="B144" i="1" s="1"/>
  <c r="B145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2" i="1" s="1"/>
  <c r="B163" i="1" s="1"/>
  <c r="B164" i="1" s="1"/>
  <c r="B165" i="1" s="1"/>
  <c r="B166" i="1" s="1"/>
  <c r="B167" i="1" s="1"/>
  <c r="B168" i="1" s="1"/>
  <c r="B169" i="1" s="1"/>
  <c r="B170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4" i="1" s="1"/>
  <c r="B225" i="1" s="1"/>
  <c r="B226" i="1" s="1"/>
  <c r="B227" i="1" s="1"/>
  <c r="B228" i="1" s="1"/>
  <c r="B229" i="1" s="1"/>
  <c r="B231" i="1" s="1"/>
  <c r="B235" i="1" s="1"/>
  <c r="B238" i="1" s="1"/>
  <c r="B239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7" i="1" s="1"/>
  <c r="B438" i="1" s="1"/>
  <c r="B439" i="1" s="1"/>
  <c r="B440" i="1" s="1"/>
  <c r="B441" i="1" s="1"/>
  <c r="B442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H9" i="1"/>
  <c r="I9" i="1" s="1"/>
  <c r="F9" i="1"/>
  <c r="G9" i="1" s="1"/>
  <c r="I230" i="1" l="1"/>
  <c r="I304" i="1"/>
  <c r="I336" i="1"/>
  <c r="I362" i="1"/>
  <c r="I372" i="1"/>
  <c r="I401" i="1"/>
  <c r="I521" i="1"/>
  <c r="I541" i="1"/>
  <c r="I560" i="1"/>
  <c r="I664" i="1"/>
  <c r="I668" i="1"/>
  <c r="I697" i="1"/>
  <c r="I699" i="1"/>
  <c r="I709" i="1"/>
  <c r="I713" i="1"/>
  <c r="I55" i="1"/>
  <c r="I147" i="1"/>
  <c r="I171" i="1"/>
  <c r="I244" i="1"/>
  <c r="I322" i="1"/>
  <c r="I364" i="1"/>
  <c r="I564" i="1"/>
  <c r="I654" i="1"/>
  <c r="I666" i="1"/>
  <c r="I672" i="1"/>
  <c r="I711" i="1"/>
  <c r="I768" i="1"/>
  <c r="J1412" i="1"/>
  <c r="K1412" i="1" s="1"/>
  <c r="I23" i="1"/>
  <c r="I766" i="1"/>
  <c r="I143" i="1"/>
  <c r="I240" i="1"/>
  <c r="I332" i="1"/>
  <c r="I281" i="1"/>
  <c r="I344" i="1"/>
  <c r="I350" i="1"/>
  <c r="I748" i="1"/>
  <c r="J1243" i="1"/>
  <c r="K1243" i="1" s="1"/>
  <c r="I27" i="1"/>
  <c r="I131" i="1"/>
  <c r="I237" i="1"/>
  <c r="I270" i="1"/>
  <c r="I314" i="1"/>
  <c r="I360" i="1"/>
  <c r="I383" i="1"/>
  <c r="I566" i="1"/>
  <c r="I568" i="1"/>
  <c r="I576" i="1"/>
  <c r="I739" i="1"/>
  <c r="I741" i="1"/>
  <c r="I743" i="1"/>
  <c r="I770" i="1"/>
  <c r="I21" i="1"/>
  <c r="I25" i="1"/>
  <c r="I29" i="1"/>
  <c r="I53" i="1"/>
  <c r="I252" i="1"/>
  <c r="I276" i="1"/>
  <c r="I278" i="1"/>
  <c r="I308" i="1"/>
  <c r="I310" i="1"/>
  <c r="I334" i="1"/>
  <c r="I338" i="1"/>
  <c r="I340" i="1"/>
  <c r="I358" i="1"/>
  <c r="I405" i="1"/>
  <c r="I580" i="1"/>
  <c r="I755" i="1"/>
  <c r="I757" i="1"/>
  <c r="I760" i="1"/>
  <c r="I762" i="1"/>
  <c r="I764" i="1"/>
  <c r="I774" i="1"/>
  <c r="I776" i="1"/>
  <c r="I145" i="1"/>
  <c r="I175" i="1"/>
  <c r="I235" i="1"/>
  <c r="I236" i="1"/>
  <c r="I268" i="1"/>
  <c r="I287" i="1"/>
  <c r="I291" i="1"/>
  <c r="I295" i="1"/>
  <c r="I316" i="1"/>
  <c r="I330" i="1"/>
  <c r="I342" i="1"/>
  <c r="I346" i="1"/>
  <c r="I356" i="1"/>
  <c r="I368" i="1"/>
  <c r="I834" i="1"/>
  <c r="I836" i="1"/>
  <c r="I840" i="1"/>
  <c r="I842" i="1"/>
  <c r="I844" i="1"/>
  <c r="I846" i="1"/>
  <c r="I848" i="1"/>
  <c r="I850" i="1"/>
  <c r="I866" i="1"/>
  <c r="I868" i="1"/>
  <c r="I870" i="1"/>
  <c r="O872" i="1"/>
  <c r="P872" i="1" s="1"/>
  <c r="Q872" i="1" s="1"/>
  <c r="S872" i="1" s="1"/>
  <c r="J872" i="1" s="1"/>
  <c r="I872" i="1"/>
  <c r="O874" i="1"/>
  <c r="I874" i="1"/>
  <c r="O876" i="1"/>
  <c r="P876" i="1" s="1"/>
  <c r="Q876" i="1" s="1"/>
  <c r="S876" i="1" s="1"/>
  <c r="J876" i="1" s="1"/>
  <c r="I876" i="1"/>
  <c r="P878" i="1"/>
  <c r="Q878" i="1" s="1"/>
  <c r="S878" i="1" s="1"/>
  <c r="J878" i="1" s="1"/>
  <c r="I879" i="1"/>
  <c r="I889" i="1"/>
  <c r="J1430" i="1"/>
  <c r="K1430" i="1" s="1"/>
  <c r="J1487" i="1"/>
  <c r="K1487" i="1" s="1"/>
  <c r="J1532" i="1"/>
  <c r="K1532" i="1" s="1"/>
  <c r="J2102" i="1"/>
  <c r="Y2102" i="1" s="1"/>
  <c r="J1241" i="1"/>
  <c r="K1241" i="1" s="1"/>
  <c r="J1245" i="1"/>
  <c r="K1245" i="1" s="1"/>
  <c r="J1435" i="1"/>
  <c r="K1435" i="1" s="1"/>
  <c r="J1493" i="1"/>
  <c r="K1493" i="1" s="1"/>
  <c r="J1548" i="1"/>
  <c r="K1548" i="1" s="1"/>
  <c r="J1554" i="1"/>
  <c r="Y1554" i="1" s="1"/>
  <c r="I11" i="1"/>
  <c r="I13" i="1"/>
  <c r="I15" i="1"/>
  <c r="I17" i="1"/>
  <c r="I19" i="1"/>
  <c r="I59" i="1"/>
  <c r="I61" i="1"/>
  <c r="I94" i="1"/>
  <c r="I96" i="1"/>
  <c r="I98" i="1"/>
  <c r="I100" i="1"/>
  <c r="I102" i="1"/>
  <c r="I104" i="1"/>
  <c r="I106" i="1"/>
  <c r="I116" i="1"/>
  <c r="I119" i="1"/>
  <c r="I121" i="1"/>
  <c r="I123" i="1"/>
  <c r="I151" i="1"/>
  <c r="I312" i="1"/>
  <c r="I326" i="1"/>
  <c r="I328" i="1"/>
  <c r="I352" i="1"/>
  <c r="I354" i="1"/>
  <c r="I370" i="1"/>
  <c r="I373" i="1"/>
  <c r="I374" i="1"/>
  <c r="I453" i="1"/>
  <c r="I454" i="1"/>
  <c r="I455" i="1"/>
  <c r="I461" i="1"/>
  <c r="I463" i="1"/>
  <c r="I479" i="1"/>
  <c r="I480" i="1"/>
  <c r="I481" i="1"/>
  <c r="I482" i="1"/>
  <c r="I483" i="1"/>
  <c r="I491" i="1"/>
  <c r="I562" i="1"/>
  <c r="I572" i="1"/>
  <c r="I574" i="1"/>
  <c r="I578" i="1"/>
  <c r="I582" i="1"/>
  <c r="I584" i="1"/>
  <c r="I632" i="1"/>
  <c r="I634" i="1"/>
  <c r="I635" i="1"/>
  <c r="I636" i="1"/>
  <c r="I637" i="1"/>
  <c r="I658" i="1"/>
  <c r="I705" i="1"/>
  <c r="I707" i="1"/>
  <c r="I727" i="1"/>
  <c r="O893" i="1"/>
  <c r="I893" i="1"/>
  <c r="O895" i="1"/>
  <c r="P895" i="1" s="1"/>
  <c r="Q895" i="1" s="1"/>
  <c r="S895" i="1" s="1"/>
  <c r="I895" i="1"/>
  <c r="I31" i="1"/>
  <c r="I35" i="1"/>
  <c r="I36" i="1"/>
  <c r="I39" i="1"/>
  <c r="I41" i="1"/>
  <c r="I43" i="1"/>
  <c r="I45" i="1"/>
  <c r="I47" i="1"/>
  <c r="I49" i="1"/>
  <c r="I51" i="1"/>
  <c r="I57" i="1"/>
  <c r="I63" i="1"/>
  <c r="I67" i="1"/>
  <c r="I69" i="1"/>
  <c r="I71" i="1"/>
  <c r="I73" i="1"/>
  <c r="I75" i="1"/>
  <c r="I79" i="1"/>
  <c r="I83" i="1"/>
  <c r="I85" i="1"/>
  <c r="I87" i="1"/>
  <c r="I92" i="1"/>
  <c r="I108" i="1"/>
  <c r="I110" i="1"/>
  <c r="I112" i="1"/>
  <c r="I114" i="1"/>
  <c r="I127" i="1"/>
  <c r="I137" i="1"/>
  <c r="I139" i="1"/>
  <c r="I141" i="1"/>
  <c r="I146" i="1"/>
  <c r="I153" i="1"/>
  <c r="I155" i="1"/>
  <c r="I158" i="1"/>
  <c r="I164" i="1"/>
  <c r="I166" i="1"/>
  <c r="I168" i="1"/>
  <c r="I170" i="1"/>
  <c r="I173" i="1"/>
  <c r="I177" i="1"/>
  <c r="I181" i="1"/>
  <c r="I183" i="1"/>
  <c r="I185" i="1"/>
  <c r="I187" i="1"/>
  <c r="I189" i="1"/>
  <c r="I191" i="1"/>
  <c r="I193" i="1"/>
  <c r="I195" i="1"/>
  <c r="I197" i="1"/>
  <c r="I199" i="1"/>
  <c r="I201" i="1"/>
  <c r="I203" i="1"/>
  <c r="I205" i="1"/>
  <c r="I209" i="1"/>
  <c r="I211" i="1"/>
  <c r="I213" i="1"/>
  <c r="I215" i="1"/>
  <c r="I217" i="1"/>
  <c r="I219" i="1"/>
  <c r="I221" i="1"/>
  <c r="I222" i="1"/>
  <c r="I223" i="1"/>
  <c r="I227" i="1"/>
  <c r="I229" i="1"/>
  <c r="I239" i="1"/>
  <c r="I246" i="1"/>
  <c r="I250" i="1"/>
  <c r="I254" i="1"/>
  <c r="I256" i="1"/>
  <c r="I258" i="1"/>
  <c r="I260" i="1"/>
  <c r="I262" i="1"/>
  <c r="I263" i="1"/>
  <c r="I266" i="1"/>
  <c r="I274" i="1"/>
  <c r="I279" i="1"/>
  <c r="I285" i="1"/>
  <c r="I298" i="1"/>
  <c r="I300" i="1"/>
  <c r="I302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3" i="1"/>
  <c r="I404" i="1"/>
  <c r="I406" i="1"/>
  <c r="I407" i="1"/>
  <c r="I519" i="1"/>
  <c r="I729" i="1"/>
  <c r="I735" i="1"/>
  <c r="I737" i="1"/>
  <c r="I778" i="1"/>
  <c r="I780" i="1"/>
  <c r="I782" i="1"/>
  <c r="I784" i="1"/>
  <c r="I786" i="1"/>
  <c r="I788" i="1"/>
  <c r="I790" i="1"/>
  <c r="I792" i="1"/>
  <c r="I794" i="1"/>
  <c r="I796" i="1"/>
  <c r="I800" i="1"/>
  <c r="I802" i="1"/>
  <c r="I804" i="1"/>
  <c r="I806" i="1"/>
  <c r="I808" i="1"/>
  <c r="I810" i="1"/>
  <c r="I812" i="1"/>
  <c r="I816" i="1"/>
  <c r="I818" i="1"/>
  <c r="I820" i="1"/>
  <c r="I822" i="1"/>
  <c r="I824" i="1"/>
  <c r="I826" i="1"/>
  <c r="I832" i="1"/>
  <c r="I852" i="1"/>
  <c r="I854" i="1"/>
  <c r="I856" i="1"/>
  <c r="I858" i="1"/>
  <c r="I860" i="1"/>
  <c r="I862" i="1"/>
  <c r="I864" i="1"/>
  <c r="I881" i="1"/>
  <c r="I883" i="1"/>
  <c r="O885" i="1"/>
  <c r="I885" i="1"/>
  <c r="O887" i="1"/>
  <c r="P887" i="1" s="1"/>
  <c r="Q887" i="1" s="1"/>
  <c r="S887" i="1" s="1"/>
  <c r="I887" i="1"/>
  <c r="P890" i="1"/>
  <c r="Q890" i="1" s="1"/>
  <c r="S890" i="1" s="1"/>
  <c r="J890" i="1" s="1"/>
  <c r="J1431" i="1"/>
  <c r="K1431" i="1" s="1"/>
  <c r="J1433" i="1"/>
  <c r="K1433" i="1" s="1"/>
  <c r="Y1549" i="1"/>
  <c r="K1549" i="1"/>
  <c r="Y1569" i="1"/>
  <c r="K1569" i="1"/>
  <c r="Y1571" i="1"/>
  <c r="K1571" i="1"/>
  <c r="Y1573" i="1"/>
  <c r="K1573" i="1"/>
  <c r="J1387" i="1"/>
  <c r="K1387" i="1" s="1"/>
  <c r="J1389" i="1"/>
  <c r="K1389" i="1" s="1"/>
  <c r="J1391" i="1"/>
  <c r="K1391" i="1" s="1"/>
  <c r="J1393" i="1"/>
  <c r="K1393" i="1" s="1"/>
  <c r="J1395" i="1"/>
  <c r="K1395" i="1" s="1"/>
  <c r="J1397" i="1"/>
  <c r="K1397" i="1" s="1"/>
  <c r="J1399" i="1"/>
  <c r="K1399" i="1" s="1"/>
  <c r="J1401" i="1"/>
  <c r="K1401" i="1" s="1"/>
  <c r="J1403" i="1"/>
  <c r="K1403" i="1" s="1"/>
  <c r="J1405" i="1"/>
  <c r="K1405" i="1" s="1"/>
  <c r="J1407" i="1"/>
  <c r="K1407" i="1" s="1"/>
  <c r="J1409" i="1"/>
  <c r="K1409" i="1" s="1"/>
  <c r="J1411" i="1"/>
  <c r="K1411" i="1" s="1"/>
  <c r="J1413" i="1"/>
  <c r="K1413" i="1" s="1"/>
  <c r="J1481" i="1"/>
  <c r="K1481" i="1" s="1"/>
  <c r="J1551" i="1"/>
  <c r="Y1551" i="1" s="1"/>
  <c r="J1553" i="1"/>
  <c r="J1555" i="1"/>
  <c r="Y1555" i="1" s="1"/>
  <c r="J1557" i="1"/>
  <c r="J1559" i="1"/>
  <c r="Y1559" i="1" s="1"/>
  <c r="J1561" i="1"/>
  <c r="J1563" i="1"/>
  <c r="Y1563" i="1" s="1"/>
  <c r="J1565" i="1"/>
  <c r="J1567" i="1"/>
  <c r="Y1567" i="1" s="1"/>
  <c r="J1575" i="1"/>
  <c r="J2208" i="1"/>
  <c r="Y2208" i="1" s="1"/>
  <c r="Y162" i="1"/>
  <c r="K162" i="1"/>
  <c r="K28" i="1"/>
  <c r="Y28" i="1"/>
  <c r="Y37" i="1"/>
  <c r="K37" i="1"/>
  <c r="Y90" i="1"/>
  <c r="K90" i="1"/>
  <c r="Y148" i="1"/>
  <c r="K148" i="1"/>
  <c r="O12" i="1"/>
  <c r="O16" i="1"/>
  <c r="O20" i="1"/>
  <c r="O24" i="1"/>
  <c r="O30" i="1"/>
  <c r="O34" i="1"/>
  <c r="O38" i="1"/>
  <c r="O42" i="1"/>
  <c r="O46" i="1"/>
  <c r="O50" i="1"/>
  <c r="O54" i="1"/>
  <c r="O58" i="1"/>
  <c r="O62" i="1"/>
  <c r="O66" i="1"/>
  <c r="O70" i="1"/>
  <c r="O74" i="1"/>
  <c r="O78" i="1"/>
  <c r="O82" i="1"/>
  <c r="O86" i="1"/>
  <c r="O91" i="1"/>
  <c r="J92" i="1"/>
  <c r="O95" i="1"/>
  <c r="O99" i="1"/>
  <c r="O103" i="1"/>
  <c r="O111" i="1"/>
  <c r="O120" i="1"/>
  <c r="O124" i="1"/>
  <c r="K125" i="1"/>
  <c r="O126" i="1"/>
  <c r="O130" i="1"/>
  <c r="O135" i="1"/>
  <c r="O136" i="1"/>
  <c r="O140" i="1"/>
  <c r="O144" i="1"/>
  <c r="O152" i="1"/>
  <c r="O159" i="1"/>
  <c r="O160" i="1"/>
  <c r="O161" i="1"/>
  <c r="O167" i="1"/>
  <c r="O172" i="1"/>
  <c r="O176" i="1"/>
  <c r="O180" i="1"/>
  <c r="O184" i="1"/>
  <c r="O188" i="1"/>
  <c r="O192" i="1"/>
  <c r="O196" i="1"/>
  <c r="O200" i="1"/>
  <c r="O204" i="1"/>
  <c r="O208" i="1"/>
  <c r="O212" i="1"/>
  <c r="O216" i="1"/>
  <c r="O220" i="1"/>
  <c r="O226" i="1"/>
  <c r="P229" i="1"/>
  <c r="Q229" i="1" s="1"/>
  <c r="S229" i="1" s="1"/>
  <c r="J229" i="1" s="1"/>
  <c r="P230" i="1"/>
  <c r="Q230" i="1" s="1"/>
  <c r="S230" i="1" s="1"/>
  <c r="J230" i="1" s="1"/>
  <c r="P235" i="1"/>
  <c r="Q235" i="1" s="1"/>
  <c r="S235" i="1" s="1"/>
  <c r="J235" i="1" s="1"/>
  <c r="P236" i="1"/>
  <c r="Q236" i="1" s="1"/>
  <c r="S236" i="1" s="1"/>
  <c r="J236" i="1" s="1"/>
  <c r="P237" i="1"/>
  <c r="Q237" i="1" s="1"/>
  <c r="S237" i="1" s="1"/>
  <c r="J237" i="1" s="1"/>
  <c r="P239" i="1"/>
  <c r="Q239" i="1" s="1"/>
  <c r="S239" i="1" s="1"/>
  <c r="J239" i="1" s="1"/>
  <c r="P240" i="1"/>
  <c r="Q240" i="1" s="1"/>
  <c r="S240" i="1" s="1"/>
  <c r="J240" i="1" s="1"/>
  <c r="P242" i="1"/>
  <c r="Q242" i="1" s="1"/>
  <c r="S242" i="1" s="1"/>
  <c r="J242" i="1" s="1"/>
  <c r="P244" i="1"/>
  <c r="Q244" i="1" s="1"/>
  <c r="S244" i="1" s="1"/>
  <c r="J244" i="1" s="1"/>
  <c r="P246" i="1"/>
  <c r="Q246" i="1" s="1"/>
  <c r="S246" i="1" s="1"/>
  <c r="J246" i="1" s="1"/>
  <c r="P250" i="1"/>
  <c r="Q250" i="1" s="1"/>
  <c r="S250" i="1" s="1"/>
  <c r="J250" i="1" s="1"/>
  <c r="P252" i="1"/>
  <c r="Q252" i="1" s="1"/>
  <c r="S252" i="1" s="1"/>
  <c r="J252" i="1" s="1"/>
  <c r="P254" i="1"/>
  <c r="Q254" i="1" s="1"/>
  <c r="S254" i="1" s="1"/>
  <c r="J254" i="1" s="1"/>
  <c r="P256" i="1"/>
  <c r="Q256" i="1" s="1"/>
  <c r="S256" i="1" s="1"/>
  <c r="J256" i="1" s="1"/>
  <c r="P258" i="1"/>
  <c r="Q258" i="1" s="1"/>
  <c r="S258" i="1" s="1"/>
  <c r="J258" i="1" s="1"/>
  <c r="P260" i="1"/>
  <c r="Q260" i="1" s="1"/>
  <c r="S260" i="1" s="1"/>
  <c r="J260" i="1" s="1"/>
  <c r="P262" i="1"/>
  <c r="Q262" i="1" s="1"/>
  <c r="S262" i="1" s="1"/>
  <c r="J262" i="1" s="1"/>
  <c r="P263" i="1"/>
  <c r="Q263" i="1" s="1"/>
  <c r="S263" i="1" s="1"/>
  <c r="J263" i="1" s="1"/>
  <c r="P266" i="1"/>
  <c r="Q266" i="1" s="1"/>
  <c r="S266" i="1" s="1"/>
  <c r="J266" i="1" s="1"/>
  <c r="P268" i="1"/>
  <c r="Q268" i="1" s="1"/>
  <c r="S268" i="1" s="1"/>
  <c r="J268" i="1" s="1"/>
  <c r="P270" i="1"/>
  <c r="Q270" i="1" s="1"/>
  <c r="S270" i="1" s="1"/>
  <c r="J270" i="1" s="1"/>
  <c r="P272" i="1"/>
  <c r="Q272" i="1" s="1"/>
  <c r="S272" i="1" s="1"/>
  <c r="J272" i="1" s="1"/>
  <c r="P274" i="1"/>
  <c r="Q274" i="1" s="1"/>
  <c r="S274" i="1" s="1"/>
  <c r="J274" i="1" s="1"/>
  <c r="P276" i="1"/>
  <c r="Q276" i="1" s="1"/>
  <c r="S276" i="1" s="1"/>
  <c r="J276" i="1" s="1"/>
  <c r="P278" i="1"/>
  <c r="Q278" i="1" s="1"/>
  <c r="S278" i="1" s="1"/>
  <c r="J278" i="1" s="1"/>
  <c r="P279" i="1"/>
  <c r="Q279" i="1" s="1"/>
  <c r="S279" i="1" s="1"/>
  <c r="J279" i="1" s="1"/>
  <c r="P281" i="1"/>
  <c r="Q281" i="1" s="1"/>
  <c r="S281" i="1" s="1"/>
  <c r="J281" i="1" s="1"/>
  <c r="P283" i="1"/>
  <c r="Q283" i="1" s="1"/>
  <c r="S283" i="1" s="1"/>
  <c r="J283" i="1" s="1"/>
  <c r="P285" i="1"/>
  <c r="Q285" i="1" s="1"/>
  <c r="S285" i="1" s="1"/>
  <c r="J285" i="1" s="1"/>
  <c r="P287" i="1"/>
  <c r="Q287" i="1" s="1"/>
  <c r="S287" i="1" s="1"/>
  <c r="J287" i="1" s="1"/>
  <c r="P291" i="1"/>
  <c r="Q291" i="1" s="1"/>
  <c r="S291" i="1" s="1"/>
  <c r="J291" i="1" s="1"/>
  <c r="P295" i="1"/>
  <c r="Q295" i="1" s="1"/>
  <c r="S295" i="1" s="1"/>
  <c r="J295" i="1" s="1"/>
  <c r="P298" i="1"/>
  <c r="Q298" i="1" s="1"/>
  <c r="S298" i="1" s="1"/>
  <c r="J298" i="1" s="1"/>
  <c r="P300" i="1"/>
  <c r="Q300" i="1" s="1"/>
  <c r="S300" i="1" s="1"/>
  <c r="J300" i="1" s="1"/>
  <c r="P302" i="1"/>
  <c r="Q302" i="1" s="1"/>
  <c r="S302" i="1" s="1"/>
  <c r="J302" i="1" s="1"/>
  <c r="K303" i="1"/>
  <c r="Y303" i="1"/>
  <c r="Y318" i="1"/>
  <c r="K318" i="1"/>
  <c r="Y348" i="1"/>
  <c r="K348" i="1"/>
  <c r="Y365" i="1"/>
  <c r="K365" i="1"/>
  <c r="K367" i="1"/>
  <c r="Y367" i="1"/>
  <c r="Y371" i="1"/>
  <c r="K371" i="1"/>
  <c r="O10" i="1"/>
  <c r="J11" i="1"/>
  <c r="P13" i="1"/>
  <c r="Q13" i="1" s="1"/>
  <c r="S13" i="1" s="1"/>
  <c r="J13" i="1" s="1"/>
  <c r="O14" i="1"/>
  <c r="J15" i="1"/>
  <c r="P17" i="1"/>
  <c r="Q17" i="1" s="1"/>
  <c r="S17" i="1" s="1"/>
  <c r="J17" i="1" s="1"/>
  <c r="O18" i="1"/>
  <c r="J19" i="1"/>
  <c r="P21" i="1"/>
  <c r="Q21" i="1" s="1"/>
  <c r="S21" i="1" s="1"/>
  <c r="J21" i="1" s="1"/>
  <c r="O22" i="1"/>
  <c r="J23" i="1"/>
  <c r="P25" i="1"/>
  <c r="Q25" i="1" s="1"/>
  <c r="S25" i="1" s="1"/>
  <c r="J25" i="1" s="1"/>
  <c r="O26" i="1"/>
  <c r="J27" i="1"/>
  <c r="J29" i="1"/>
  <c r="P31" i="1"/>
  <c r="Q31" i="1" s="1"/>
  <c r="S31" i="1" s="1"/>
  <c r="J31" i="1" s="1"/>
  <c r="O32" i="1"/>
  <c r="J33" i="1"/>
  <c r="P35" i="1"/>
  <c r="Q35" i="1" s="1"/>
  <c r="S35" i="1" s="1"/>
  <c r="J35" i="1" s="1"/>
  <c r="P36" i="1"/>
  <c r="Q36" i="1" s="1"/>
  <c r="S36" i="1" s="1"/>
  <c r="J36" i="1" s="1"/>
  <c r="P39" i="1"/>
  <c r="Q39" i="1" s="1"/>
  <c r="S39" i="1" s="1"/>
  <c r="J39" i="1" s="1"/>
  <c r="O40" i="1"/>
  <c r="J41" i="1"/>
  <c r="P43" i="1"/>
  <c r="Q43" i="1" s="1"/>
  <c r="S43" i="1" s="1"/>
  <c r="J43" i="1" s="1"/>
  <c r="O44" i="1"/>
  <c r="J45" i="1"/>
  <c r="P47" i="1"/>
  <c r="Q47" i="1" s="1"/>
  <c r="S47" i="1" s="1"/>
  <c r="J47" i="1" s="1"/>
  <c r="O48" i="1"/>
  <c r="J49" i="1"/>
  <c r="P51" i="1"/>
  <c r="Q51" i="1" s="1"/>
  <c r="S51" i="1" s="1"/>
  <c r="J51" i="1" s="1"/>
  <c r="O52" i="1"/>
  <c r="J53" i="1"/>
  <c r="P55" i="1"/>
  <c r="Q55" i="1" s="1"/>
  <c r="S55" i="1" s="1"/>
  <c r="J55" i="1" s="1"/>
  <c r="O56" i="1"/>
  <c r="J57" i="1"/>
  <c r="P59" i="1"/>
  <c r="Q59" i="1" s="1"/>
  <c r="S59" i="1" s="1"/>
  <c r="J59" i="1" s="1"/>
  <c r="O60" i="1"/>
  <c r="J61" i="1"/>
  <c r="P63" i="1"/>
  <c r="Q63" i="1" s="1"/>
  <c r="S63" i="1" s="1"/>
  <c r="J63" i="1" s="1"/>
  <c r="O64" i="1"/>
  <c r="J65" i="1"/>
  <c r="P67" i="1"/>
  <c r="Q67" i="1" s="1"/>
  <c r="S67" i="1" s="1"/>
  <c r="J67" i="1" s="1"/>
  <c r="O68" i="1"/>
  <c r="J69" i="1"/>
  <c r="P71" i="1"/>
  <c r="Q71" i="1" s="1"/>
  <c r="S71" i="1" s="1"/>
  <c r="J71" i="1" s="1"/>
  <c r="O72" i="1"/>
  <c r="J73" i="1"/>
  <c r="P75" i="1"/>
  <c r="Q75" i="1" s="1"/>
  <c r="S75" i="1" s="1"/>
  <c r="J75" i="1" s="1"/>
  <c r="O76" i="1"/>
  <c r="J77" i="1"/>
  <c r="P79" i="1"/>
  <c r="Q79" i="1" s="1"/>
  <c r="S79" i="1" s="1"/>
  <c r="J79" i="1" s="1"/>
  <c r="O80" i="1"/>
  <c r="J81" i="1"/>
  <c r="P83" i="1"/>
  <c r="Q83" i="1" s="1"/>
  <c r="S83" i="1" s="1"/>
  <c r="J83" i="1" s="1"/>
  <c r="O84" i="1"/>
  <c r="J85" i="1"/>
  <c r="P87" i="1"/>
  <c r="Q87" i="1" s="1"/>
  <c r="S87" i="1" s="1"/>
  <c r="J87" i="1" s="1"/>
  <c r="O88" i="1"/>
  <c r="O89" i="1"/>
  <c r="O93" i="1"/>
  <c r="J94" i="1"/>
  <c r="P96" i="1"/>
  <c r="Q96" i="1" s="1"/>
  <c r="S96" i="1" s="1"/>
  <c r="J96" i="1" s="1"/>
  <c r="O97" i="1"/>
  <c r="J98" i="1"/>
  <c r="P100" i="1"/>
  <c r="Q100" i="1" s="1"/>
  <c r="S100" i="1" s="1"/>
  <c r="J100" i="1" s="1"/>
  <c r="O101" i="1"/>
  <c r="J102" i="1"/>
  <c r="P104" i="1"/>
  <c r="Q104" i="1" s="1"/>
  <c r="S104" i="1" s="1"/>
  <c r="J104" i="1" s="1"/>
  <c r="O105" i="1"/>
  <c r="J106" i="1"/>
  <c r="J107" i="1"/>
  <c r="P108" i="1"/>
  <c r="Q108" i="1" s="1"/>
  <c r="S108" i="1" s="1"/>
  <c r="J108" i="1" s="1"/>
  <c r="O109" i="1"/>
  <c r="J110" i="1"/>
  <c r="P112" i="1"/>
  <c r="Q112" i="1" s="1"/>
  <c r="S112" i="1" s="1"/>
  <c r="J112" i="1" s="1"/>
  <c r="O113" i="1"/>
  <c r="J114" i="1"/>
  <c r="J115" i="1"/>
  <c r="P116" i="1"/>
  <c r="Q116" i="1" s="1"/>
  <c r="S116" i="1" s="1"/>
  <c r="J116" i="1" s="1"/>
  <c r="O117" i="1"/>
  <c r="O118" i="1"/>
  <c r="J119" i="1"/>
  <c r="P121" i="1"/>
  <c r="Q121" i="1" s="1"/>
  <c r="S121" i="1" s="1"/>
  <c r="J121" i="1" s="1"/>
  <c r="O122" i="1"/>
  <c r="J123" i="1"/>
  <c r="P127" i="1"/>
  <c r="Q127" i="1" s="1"/>
  <c r="S127" i="1" s="1"/>
  <c r="J127" i="1" s="1"/>
  <c r="O128" i="1"/>
  <c r="J129" i="1"/>
  <c r="P131" i="1"/>
  <c r="Q131" i="1" s="1"/>
  <c r="S131" i="1" s="1"/>
  <c r="J131" i="1" s="1"/>
  <c r="O132" i="1"/>
  <c r="O133" i="1"/>
  <c r="J134" i="1"/>
  <c r="P137" i="1"/>
  <c r="Q137" i="1" s="1"/>
  <c r="S137" i="1" s="1"/>
  <c r="J137" i="1" s="1"/>
  <c r="O138" i="1"/>
  <c r="J139" i="1"/>
  <c r="P141" i="1"/>
  <c r="Q141" i="1" s="1"/>
  <c r="S141" i="1" s="1"/>
  <c r="J141" i="1" s="1"/>
  <c r="O142" i="1"/>
  <c r="J143" i="1"/>
  <c r="P145" i="1"/>
  <c r="Q145" i="1" s="1"/>
  <c r="S145" i="1" s="1"/>
  <c r="J145" i="1" s="1"/>
  <c r="P146" i="1"/>
  <c r="Q146" i="1" s="1"/>
  <c r="S146" i="1" s="1"/>
  <c r="J146" i="1" s="1"/>
  <c r="P147" i="1"/>
  <c r="Q147" i="1" s="1"/>
  <c r="S147" i="1" s="1"/>
  <c r="J147" i="1" s="1"/>
  <c r="K149" i="1"/>
  <c r="O150" i="1"/>
  <c r="J151" i="1"/>
  <c r="P153" i="1"/>
  <c r="Q153" i="1" s="1"/>
  <c r="S153" i="1" s="1"/>
  <c r="J153" i="1" s="1"/>
  <c r="O154" i="1"/>
  <c r="J155" i="1"/>
  <c r="K156" i="1"/>
  <c r="O157" i="1"/>
  <c r="J158" i="1"/>
  <c r="J163" i="1"/>
  <c r="P164" i="1"/>
  <c r="Q164" i="1" s="1"/>
  <c r="S164" i="1" s="1"/>
  <c r="J164" i="1" s="1"/>
  <c r="O165" i="1"/>
  <c r="J166" i="1"/>
  <c r="P168" i="1"/>
  <c r="Q168" i="1" s="1"/>
  <c r="S168" i="1" s="1"/>
  <c r="J168" i="1" s="1"/>
  <c r="O169" i="1"/>
  <c r="J170" i="1"/>
  <c r="J171" i="1"/>
  <c r="P173" i="1"/>
  <c r="Q173" i="1" s="1"/>
  <c r="S173" i="1" s="1"/>
  <c r="J173" i="1" s="1"/>
  <c r="O174" i="1"/>
  <c r="J175" i="1"/>
  <c r="P177" i="1"/>
  <c r="Q177" i="1" s="1"/>
  <c r="S177" i="1" s="1"/>
  <c r="J177" i="1" s="1"/>
  <c r="O178" i="1"/>
  <c r="J179" i="1"/>
  <c r="P181" i="1"/>
  <c r="Q181" i="1" s="1"/>
  <c r="S181" i="1" s="1"/>
  <c r="J181" i="1" s="1"/>
  <c r="O182" i="1"/>
  <c r="J183" i="1"/>
  <c r="P185" i="1"/>
  <c r="Q185" i="1" s="1"/>
  <c r="S185" i="1" s="1"/>
  <c r="J185" i="1" s="1"/>
  <c r="O186" i="1"/>
  <c r="J187" i="1"/>
  <c r="P189" i="1"/>
  <c r="Q189" i="1" s="1"/>
  <c r="S189" i="1" s="1"/>
  <c r="J189" i="1" s="1"/>
  <c r="O190" i="1"/>
  <c r="J191" i="1"/>
  <c r="P193" i="1"/>
  <c r="Q193" i="1" s="1"/>
  <c r="S193" i="1" s="1"/>
  <c r="J193" i="1" s="1"/>
  <c r="O194" i="1"/>
  <c r="J195" i="1"/>
  <c r="P197" i="1"/>
  <c r="Q197" i="1" s="1"/>
  <c r="S197" i="1" s="1"/>
  <c r="J197" i="1" s="1"/>
  <c r="O198" i="1"/>
  <c r="J199" i="1"/>
  <c r="P201" i="1"/>
  <c r="Q201" i="1" s="1"/>
  <c r="S201" i="1" s="1"/>
  <c r="J201" i="1" s="1"/>
  <c r="O202" i="1"/>
  <c r="J203" i="1"/>
  <c r="P205" i="1"/>
  <c r="Q205" i="1" s="1"/>
  <c r="S205" i="1" s="1"/>
  <c r="J205" i="1" s="1"/>
  <c r="O206" i="1"/>
  <c r="J207" i="1"/>
  <c r="P209" i="1"/>
  <c r="Q209" i="1" s="1"/>
  <c r="S209" i="1" s="1"/>
  <c r="J209" i="1" s="1"/>
  <c r="O210" i="1"/>
  <c r="J211" i="1"/>
  <c r="P213" i="1"/>
  <c r="Q213" i="1" s="1"/>
  <c r="S213" i="1" s="1"/>
  <c r="J213" i="1" s="1"/>
  <c r="O214" i="1"/>
  <c r="J215" i="1"/>
  <c r="P217" i="1"/>
  <c r="Q217" i="1" s="1"/>
  <c r="S217" i="1" s="1"/>
  <c r="J217" i="1" s="1"/>
  <c r="O218" i="1"/>
  <c r="J219" i="1"/>
  <c r="P221" i="1"/>
  <c r="Q221" i="1" s="1"/>
  <c r="S221" i="1" s="1"/>
  <c r="J221" i="1" s="1"/>
  <c r="P222" i="1"/>
  <c r="Q222" i="1" s="1"/>
  <c r="S222" i="1" s="1"/>
  <c r="J222" i="1" s="1"/>
  <c r="P223" i="1"/>
  <c r="Q223" i="1" s="1"/>
  <c r="S223" i="1" s="1"/>
  <c r="J223" i="1" s="1"/>
  <c r="O224" i="1"/>
  <c r="J225" i="1"/>
  <c r="P227" i="1"/>
  <c r="Q227" i="1" s="1"/>
  <c r="S227" i="1" s="1"/>
  <c r="J227" i="1" s="1"/>
  <c r="I228" i="1"/>
  <c r="O228" i="1"/>
  <c r="Y264" i="1"/>
  <c r="K264" i="1"/>
  <c r="Y277" i="1"/>
  <c r="K277" i="1"/>
  <c r="Y289" i="1"/>
  <c r="K289" i="1"/>
  <c r="Y293" i="1"/>
  <c r="K293" i="1"/>
  <c r="Y296" i="1"/>
  <c r="K296" i="1"/>
  <c r="P304" i="1"/>
  <c r="Q304" i="1" s="1"/>
  <c r="S304" i="1" s="1"/>
  <c r="J304" i="1" s="1"/>
  <c r="P306" i="1"/>
  <c r="Q306" i="1" s="1"/>
  <c r="S306" i="1" s="1"/>
  <c r="J306" i="1" s="1"/>
  <c r="P308" i="1"/>
  <c r="Q308" i="1" s="1"/>
  <c r="S308" i="1" s="1"/>
  <c r="J308" i="1" s="1"/>
  <c r="P310" i="1"/>
  <c r="Q310" i="1" s="1"/>
  <c r="S310" i="1" s="1"/>
  <c r="J310" i="1" s="1"/>
  <c r="P312" i="1"/>
  <c r="Q312" i="1" s="1"/>
  <c r="S312" i="1" s="1"/>
  <c r="J312" i="1" s="1"/>
  <c r="P314" i="1"/>
  <c r="Q314" i="1" s="1"/>
  <c r="S314" i="1" s="1"/>
  <c r="J314" i="1" s="1"/>
  <c r="P316" i="1"/>
  <c r="Q316" i="1" s="1"/>
  <c r="S316" i="1" s="1"/>
  <c r="J316" i="1" s="1"/>
  <c r="P320" i="1"/>
  <c r="Q320" i="1" s="1"/>
  <c r="S320" i="1" s="1"/>
  <c r="J320" i="1" s="1"/>
  <c r="P322" i="1"/>
  <c r="Q322" i="1" s="1"/>
  <c r="S322" i="1" s="1"/>
  <c r="J322" i="1" s="1"/>
  <c r="P324" i="1"/>
  <c r="Q324" i="1" s="1"/>
  <c r="S324" i="1" s="1"/>
  <c r="J324" i="1" s="1"/>
  <c r="P326" i="1"/>
  <c r="Q326" i="1" s="1"/>
  <c r="S326" i="1" s="1"/>
  <c r="J326" i="1" s="1"/>
  <c r="P328" i="1"/>
  <c r="Q328" i="1" s="1"/>
  <c r="S328" i="1" s="1"/>
  <c r="J328" i="1" s="1"/>
  <c r="P330" i="1"/>
  <c r="Q330" i="1" s="1"/>
  <c r="S330" i="1" s="1"/>
  <c r="J330" i="1" s="1"/>
  <c r="P332" i="1"/>
  <c r="Q332" i="1" s="1"/>
  <c r="S332" i="1" s="1"/>
  <c r="J332" i="1" s="1"/>
  <c r="P334" i="1"/>
  <c r="Q334" i="1" s="1"/>
  <c r="S334" i="1" s="1"/>
  <c r="J334" i="1" s="1"/>
  <c r="P336" i="1"/>
  <c r="Q336" i="1" s="1"/>
  <c r="S336" i="1" s="1"/>
  <c r="J336" i="1" s="1"/>
  <c r="P338" i="1"/>
  <c r="Q338" i="1" s="1"/>
  <c r="S338" i="1" s="1"/>
  <c r="J338" i="1" s="1"/>
  <c r="P340" i="1"/>
  <c r="Q340" i="1" s="1"/>
  <c r="S340" i="1" s="1"/>
  <c r="J340" i="1" s="1"/>
  <c r="P342" i="1"/>
  <c r="Q342" i="1" s="1"/>
  <c r="S342" i="1" s="1"/>
  <c r="J342" i="1" s="1"/>
  <c r="P344" i="1"/>
  <c r="Q344" i="1" s="1"/>
  <c r="S344" i="1" s="1"/>
  <c r="J344" i="1" s="1"/>
  <c r="P346" i="1"/>
  <c r="Q346" i="1" s="1"/>
  <c r="S346" i="1" s="1"/>
  <c r="J346" i="1" s="1"/>
  <c r="P350" i="1"/>
  <c r="Q350" i="1" s="1"/>
  <c r="S350" i="1" s="1"/>
  <c r="J350" i="1" s="1"/>
  <c r="P352" i="1"/>
  <c r="Q352" i="1" s="1"/>
  <c r="S352" i="1" s="1"/>
  <c r="J352" i="1" s="1"/>
  <c r="P354" i="1"/>
  <c r="Q354" i="1" s="1"/>
  <c r="S354" i="1" s="1"/>
  <c r="J354" i="1" s="1"/>
  <c r="P356" i="1"/>
  <c r="Q356" i="1" s="1"/>
  <c r="S356" i="1" s="1"/>
  <c r="J356" i="1" s="1"/>
  <c r="P358" i="1"/>
  <c r="Q358" i="1" s="1"/>
  <c r="S358" i="1" s="1"/>
  <c r="J358" i="1" s="1"/>
  <c r="P360" i="1"/>
  <c r="Q360" i="1" s="1"/>
  <c r="S360" i="1" s="1"/>
  <c r="J360" i="1" s="1"/>
  <c r="P362" i="1"/>
  <c r="Q362" i="1" s="1"/>
  <c r="S362" i="1" s="1"/>
  <c r="J362" i="1" s="1"/>
  <c r="P364" i="1"/>
  <c r="Q364" i="1" s="1"/>
  <c r="S364" i="1" s="1"/>
  <c r="J364" i="1" s="1"/>
  <c r="P368" i="1"/>
  <c r="Q368" i="1" s="1"/>
  <c r="S368" i="1" s="1"/>
  <c r="J368" i="1" s="1"/>
  <c r="P370" i="1"/>
  <c r="Q370" i="1" s="1"/>
  <c r="S370" i="1" s="1"/>
  <c r="J370" i="1" s="1"/>
  <c r="P372" i="1"/>
  <c r="Q372" i="1" s="1"/>
  <c r="S372" i="1" s="1"/>
  <c r="J372" i="1" s="1"/>
  <c r="P373" i="1"/>
  <c r="Q373" i="1" s="1"/>
  <c r="S373" i="1" s="1"/>
  <c r="J373" i="1" s="1"/>
  <c r="P374" i="1"/>
  <c r="Q374" i="1" s="1"/>
  <c r="S374" i="1" s="1"/>
  <c r="J374" i="1" s="1"/>
  <c r="O231" i="1"/>
  <c r="O232" i="1"/>
  <c r="O233" i="1"/>
  <c r="O234" i="1"/>
  <c r="O238" i="1"/>
  <c r="O241" i="1"/>
  <c r="O243" i="1"/>
  <c r="O245" i="1"/>
  <c r="O247" i="1"/>
  <c r="O248" i="1"/>
  <c r="O249" i="1"/>
  <c r="O251" i="1"/>
  <c r="O253" i="1"/>
  <c r="O255" i="1"/>
  <c r="O257" i="1"/>
  <c r="O259" i="1"/>
  <c r="O261" i="1"/>
  <c r="O265" i="1"/>
  <c r="O267" i="1"/>
  <c r="O269" i="1"/>
  <c r="O271" i="1"/>
  <c r="O273" i="1"/>
  <c r="O275" i="1"/>
  <c r="O280" i="1"/>
  <c r="O282" i="1"/>
  <c r="O284" i="1"/>
  <c r="O286" i="1"/>
  <c r="O288" i="1"/>
  <c r="O290" i="1"/>
  <c r="O292" i="1"/>
  <c r="O294" i="1"/>
  <c r="O297" i="1"/>
  <c r="O299" i="1"/>
  <c r="O301" i="1"/>
  <c r="O305" i="1"/>
  <c r="O307" i="1"/>
  <c r="O309" i="1"/>
  <c r="O311" i="1"/>
  <c r="O313" i="1"/>
  <c r="O315" i="1"/>
  <c r="O317" i="1"/>
  <c r="O319" i="1"/>
  <c r="O321" i="1"/>
  <c r="O323" i="1"/>
  <c r="O325" i="1"/>
  <c r="O327" i="1"/>
  <c r="O329" i="1"/>
  <c r="O331" i="1"/>
  <c r="O333" i="1"/>
  <c r="O335" i="1"/>
  <c r="O337" i="1"/>
  <c r="O339" i="1"/>
  <c r="O341" i="1"/>
  <c r="O343" i="1"/>
  <c r="O345" i="1"/>
  <c r="O347" i="1"/>
  <c r="O349" i="1"/>
  <c r="O351" i="1"/>
  <c r="O353" i="1"/>
  <c r="O355" i="1"/>
  <c r="O357" i="1"/>
  <c r="O359" i="1"/>
  <c r="O361" i="1"/>
  <c r="O363" i="1"/>
  <c r="O366" i="1"/>
  <c r="O369" i="1"/>
  <c r="P382" i="1"/>
  <c r="Q382" i="1" s="1"/>
  <c r="S382" i="1" s="1"/>
  <c r="J382" i="1" s="1"/>
  <c r="Y402" i="1"/>
  <c r="K402" i="1"/>
  <c r="K414" i="1"/>
  <c r="Y414" i="1"/>
  <c r="Y415" i="1"/>
  <c r="K415" i="1"/>
  <c r="Y417" i="1"/>
  <c r="K417" i="1"/>
  <c r="Y419" i="1"/>
  <c r="K419" i="1"/>
  <c r="K422" i="1"/>
  <c r="Y422" i="1"/>
  <c r="Y423" i="1"/>
  <c r="K423" i="1"/>
  <c r="K426" i="1"/>
  <c r="Y426" i="1"/>
  <c r="Y427" i="1"/>
  <c r="K427" i="1"/>
  <c r="K430" i="1"/>
  <c r="Y430" i="1"/>
  <c r="K431" i="1"/>
  <c r="Y431" i="1"/>
  <c r="K432" i="1"/>
  <c r="Y432" i="1"/>
  <c r="P433" i="1"/>
  <c r="Q433" i="1" s="1"/>
  <c r="S433" i="1" s="1"/>
  <c r="J433" i="1" s="1"/>
  <c r="P435" i="1"/>
  <c r="Q435" i="1" s="1"/>
  <c r="S435" i="1" s="1"/>
  <c r="J435" i="1" s="1"/>
  <c r="P436" i="1"/>
  <c r="Q436" i="1" s="1"/>
  <c r="S436" i="1" s="1"/>
  <c r="J436" i="1" s="1"/>
  <c r="K439" i="1"/>
  <c r="Y439" i="1"/>
  <c r="Y440" i="1"/>
  <c r="K440" i="1"/>
  <c r="P443" i="1"/>
  <c r="Q443" i="1" s="1"/>
  <c r="S443" i="1" s="1"/>
  <c r="J443" i="1" s="1"/>
  <c r="P444" i="1"/>
  <c r="Q444" i="1" s="1"/>
  <c r="S444" i="1" s="1"/>
  <c r="J444" i="1" s="1"/>
  <c r="P445" i="1"/>
  <c r="Q445" i="1" s="1"/>
  <c r="S445" i="1" s="1"/>
  <c r="J445" i="1" s="1"/>
  <c r="Y446" i="1"/>
  <c r="K446" i="1"/>
  <c r="P447" i="1"/>
  <c r="Q447" i="1" s="1"/>
  <c r="S447" i="1" s="1"/>
  <c r="J447" i="1" s="1"/>
  <c r="P448" i="1"/>
  <c r="Q448" i="1" s="1"/>
  <c r="S448" i="1" s="1"/>
  <c r="J448" i="1" s="1"/>
  <c r="Y449" i="1"/>
  <c r="K449" i="1"/>
  <c r="P450" i="1"/>
  <c r="Q450" i="1" s="1"/>
  <c r="S450" i="1" s="1"/>
  <c r="J450" i="1" s="1"/>
  <c r="P451" i="1"/>
  <c r="Q451" i="1" s="1"/>
  <c r="S451" i="1" s="1"/>
  <c r="J451" i="1" s="1"/>
  <c r="Y452" i="1"/>
  <c r="K452" i="1"/>
  <c r="P453" i="1"/>
  <c r="Q453" i="1" s="1"/>
  <c r="S453" i="1" s="1"/>
  <c r="J453" i="1" s="1"/>
  <c r="P454" i="1"/>
  <c r="Q454" i="1" s="1"/>
  <c r="S454" i="1" s="1"/>
  <c r="J454" i="1" s="1"/>
  <c r="P455" i="1"/>
  <c r="Q455" i="1" s="1"/>
  <c r="S455" i="1" s="1"/>
  <c r="J455" i="1" s="1"/>
  <c r="P457" i="1"/>
  <c r="Q457" i="1" s="1"/>
  <c r="S457" i="1" s="1"/>
  <c r="J457" i="1" s="1"/>
  <c r="Y459" i="1"/>
  <c r="K459" i="1"/>
  <c r="P461" i="1"/>
  <c r="Q461" i="1" s="1"/>
  <c r="S461" i="1" s="1"/>
  <c r="J461" i="1" s="1"/>
  <c r="P463" i="1"/>
  <c r="Q463" i="1" s="1"/>
  <c r="S463" i="1" s="1"/>
  <c r="J463" i="1" s="1"/>
  <c r="K466" i="1"/>
  <c r="Y466" i="1"/>
  <c r="Y467" i="1"/>
  <c r="K467" i="1"/>
  <c r="K470" i="1"/>
  <c r="Y470" i="1"/>
  <c r="Y471" i="1"/>
  <c r="K471" i="1"/>
  <c r="P479" i="1"/>
  <c r="Q479" i="1" s="1"/>
  <c r="S479" i="1" s="1"/>
  <c r="J479" i="1" s="1"/>
  <c r="P480" i="1"/>
  <c r="Q480" i="1" s="1"/>
  <c r="S480" i="1" s="1"/>
  <c r="J480" i="1" s="1"/>
  <c r="P481" i="1"/>
  <c r="Q481" i="1" s="1"/>
  <c r="S481" i="1" s="1"/>
  <c r="J481" i="1" s="1"/>
  <c r="P482" i="1"/>
  <c r="Q482" i="1" s="1"/>
  <c r="S482" i="1" s="1"/>
  <c r="J482" i="1" s="1"/>
  <c r="P483" i="1"/>
  <c r="Q483" i="1" s="1"/>
  <c r="S483" i="1" s="1"/>
  <c r="J483" i="1" s="1"/>
  <c r="K487" i="1"/>
  <c r="Y487" i="1"/>
  <c r="P491" i="1"/>
  <c r="Q491" i="1" s="1"/>
  <c r="S491" i="1" s="1"/>
  <c r="J491" i="1" s="1"/>
  <c r="P509" i="1"/>
  <c r="Q509" i="1" s="1"/>
  <c r="S509" i="1" s="1"/>
  <c r="J509" i="1" s="1"/>
  <c r="P511" i="1"/>
  <c r="Q511" i="1" s="1"/>
  <c r="S511" i="1" s="1"/>
  <c r="J511" i="1" s="1"/>
  <c r="P513" i="1"/>
  <c r="Q513" i="1" s="1"/>
  <c r="S513" i="1" s="1"/>
  <c r="J513" i="1" s="1"/>
  <c r="P515" i="1"/>
  <c r="Q515" i="1" s="1"/>
  <c r="S515" i="1" s="1"/>
  <c r="J515" i="1" s="1"/>
  <c r="P517" i="1"/>
  <c r="Q517" i="1" s="1"/>
  <c r="S517" i="1" s="1"/>
  <c r="J517" i="1" s="1"/>
  <c r="Y518" i="1"/>
  <c r="K518" i="1"/>
  <c r="P521" i="1"/>
  <c r="Q521" i="1" s="1"/>
  <c r="S521" i="1" s="1"/>
  <c r="J521" i="1"/>
  <c r="P529" i="1"/>
  <c r="Q529" i="1" s="1"/>
  <c r="S529" i="1" s="1"/>
  <c r="J529" i="1" s="1"/>
  <c r="K538" i="1"/>
  <c r="Y538" i="1"/>
  <c r="Y539" i="1"/>
  <c r="K539" i="1"/>
  <c r="P541" i="1"/>
  <c r="Q541" i="1" s="1"/>
  <c r="S541" i="1" s="1"/>
  <c r="J541" i="1" s="1"/>
  <c r="P547" i="1"/>
  <c r="Q547" i="1" s="1"/>
  <c r="S547" i="1" s="1"/>
  <c r="J547" i="1" s="1"/>
  <c r="P554" i="1"/>
  <c r="Q554" i="1" s="1"/>
  <c r="S554" i="1" s="1"/>
  <c r="J554" i="1" s="1"/>
  <c r="P560" i="1"/>
  <c r="Q560" i="1" s="1"/>
  <c r="S560" i="1" s="1"/>
  <c r="J560" i="1" s="1"/>
  <c r="P562" i="1"/>
  <c r="Q562" i="1" s="1"/>
  <c r="S562" i="1" s="1"/>
  <c r="J562" i="1" s="1"/>
  <c r="P564" i="1"/>
  <c r="Q564" i="1" s="1"/>
  <c r="S564" i="1" s="1"/>
  <c r="J564" i="1" s="1"/>
  <c r="P566" i="1"/>
  <c r="Q566" i="1" s="1"/>
  <c r="S566" i="1" s="1"/>
  <c r="J566" i="1" s="1"/>
  <c r="P568" i="1"/>
  <c r="Q568" i="1" s="1"/>
  <c r="S568" i="1" s="1"/>
  <c r="J568" i="1" s="1"/>
  <c r="P570" i="1"/>
  <c r="Q570" i="1" s="1"/>
  <c r="S570" i="1" s="1"/>
  <c r="J570" i="1" s="1"/>
  <c r="P572" i="1"/>
  <c r="Q572" i="1" s="1"/>
  <c r="S572" i="1" s="1"/>
  <c r="J572" i="1" s="1"/>
  <c r="P574" i="1"/>
  <c r="Q574" i="1" s="1"/>
  <c r="S574" i="1" s="1"/>
  <c r="J574" i="1" s="1"/>
  <c r="P576" i="1"/>
  <c r="Q576" i="1" s="1"/>
  <c r="S576" i="1" s="1"/>
  <c r="J576" i="1" s="1"/>
  <c r="P578" i="1"/>
  <c r="Q578" i="1" s="1"/>
  <c r="S578" i="1" s="1"/>
  <c r="J578" i="1" s="1"/>
  <c r="P580" i="1"/>
  <c r="Q580" i="1" s="1"/>
  <c r="S580" i="1" s="1"/>
  <c r="J580" i="1" s="1"/>
  <c r="P582" i="1"/>
  <c r="Q582" i="1" s="1"/>
  <c r="S582" i="1" s="1"/>
  <c r="J582" i="1" s="1"/>
  <c r="P584" i="1"/>
  <c r="Q584" i="1" s="1"/>
  <c r="S584" i="1" s="1"/>
  <c r="J584" i="1" s="1"/>
  <c r="K587" i="1"/>
  <c r="Y587" i="1"/>
  <c r="P588" i="1"/>
  <c r="Q588" i="1" s="1"/>
  <c r="S588" i="1" s="1"/>
  <c r="J588" i="1" s="1"/>
  <c r="Y589" i="1"/>
  <c r="K589" i="1"/>
  <c r="K592" i="1"/>
  <c r="Y592" i="1"/>
  <c r="K594" i="1"/>
  <c r="Y594" i="1"/>
  <c r="K597" i="1"/>
  <c r="Y597" i="1"/>
  <c r="K599" i="1"/>
  <c r="Y599" i="1"/>
  <c r="K606" i="1"/>
  <c r="Y606" i="1"/>
  <c r="Y608" i="1"/>
  <c r="K608" i="1"/>
  <c r="Y610" i="1"/>
  <c r="K610" i="1"/>
  <c r="K611" i="1"/>
  <c r="Y611" i="1"/>
  <c r="K613" i="1"/>
  <c r="Y613" i="1"/>
  <c r="Y616" i="1"/>
  <c r="K616" i="1"/>
  <c r="Y618" i="1"/>
  <c r="K618" i="1"/>
  <c r="P632" i="1"/>
  <c r="Q632" i="1" s="1"/>
  <c r="S632" i="1" s="1"/>
  <c r="J632" i="1" s="1"/>
  <c r="P634" i="1"/>
  <c r="Q634" i="1" s="1"/>
  <c r="S634" i="1" s="1"/>
  <c r="J634" i="1" s="1"/>
  <c r="P635" i="1"/>
  <c r="Q635" i="1" s="1"/>
  <c r="S635" i="1" s="1"/>
  <c r="J635" i="1" s="1"/>
  <c r="P636" i="1"/>
  <c r="Q636" i="1" s="1"/>
  <c r="S636" i="1" s="1"/>
  <c r="J636" i="1" s="1"/>
  <c r="P637" i="1"/>
  <c r="Q637" i="1" s="1"/>
  <c r="S637" i="1" s="1"/>
  <c r="J637" i="1" s="1"/>
  <c r="K638" i="1"/>
  <c r="Y638" i="1"/>
  <c r="K647" i="1"/>
  <c r="Y647" i="1"/>
  <c r="Y652" i="1"/>
  <c r="K652" i="1"/>
  <c r="P658" i="1"/>
  <c r="Q658" i="1" s="1"/>
  <c r="S658" i="1" s="1"/>
  <c r="J658" i="1" s="1"/>
  <c r="P660" i="1"/>
  <c r="Q660" i="1" s="1"/>
  <c r="S660" i="1" s="1"/>
  <c r="J660" i="1" s="1"/>
  <c r="P662" i="1"/>
  <c r="Q662" i="1" s="1"/>
  <c r="S662" i="1" s="1"/>
  <c r="J662" i="1" s="1"/>
  <c r="K665" i="1"/>
  <c r="Y665" i="1"/>
  <c r="P670" i="1"/>
  <c r="Q670" i="1" s="1"/>
  <c r="S670" i="1" s="1"/>
  <c r="J670" i="1" s="1"/>
  <c r="P674" i="1"/>
  <c r="Q674" i="1" s="1"/>
  <c r="S674" i="1" s="1"/>
  <c r="J674" i="1" s="1"/>
  <c r="Y687" i="1"/>
  <c r="K687" i="1"/>
  <c r="P689" i="1"/>
  <c r="Q689" i="1" s="1"/>
  <c r="S689" i="1" s="1"/>
  <c r="J689" i="1" s="1"/>
  <c r="P691" i="1"/>
  <c r="Q691" i="1" s="1"/>
  <c r="S691" i="1" s="1"/>
  <c r="J691" i="1" s="1"/>
  <c r="P693" i="1"/>
  <c r="Q693" i="1" s="1"/>
  <c r="S693" i="1" s="1"/>
  <c r="J693" i="1" s="1"/>
  <c r="P695" i="1"/>
  <c r="Q695" i="1" s="1"/>
  <c r="S695" i="1" s="1"/>
  <c r="J695" i="1" s="1"/>
  <c r="P705" i="1"/>
  <c r="Q705" i="1" s="1"/>
  <c r="S705" i="1" s="1"/>
  <c r="J705" i="1" s="1"/>
  <c r="P707" i="1"/>
  <c r="Q707" i="1" s="1"/>
  <c r="S707" i="1" s="1"/>
  <c r="J707" i="1" s="1"/>
  <c r="K708" i="1"/>
  <c r="Y708" i="1"/>
  <c r="P715" i="1"/>
  <c r="Q715" i="1" s="1"/>
  <c r="S715" i="1" s="1"/>
  <c r="J715" i="1" s="1"/>
  <c r="P717" i="1"/>
  <c r="Q717" i="1" s="1"/>
  <c r="S717" i="1" s="1"/>
  <c r="J717" i="1" s="1"/>
  <c r="P719" i="1"/>
  <c r="Q719" i="1" s="1"/>
  <c r="S719" i="1" s="1"/>
  <c r="J719" i="1" s="1"/>
  <c r="K723" i="1"/>
  <c r="Y723" i="1"/>
  <c r="P724" i="1"/>
  <c r="Q724" i="1" s="1"/>
  <c r="S724" i="1" s="1"/>
  <c r="J724" i="1" s="1"/>
  <c r="P727" i="1"/>
  <c r="Q727" i="1" s="1"/>
  <c r="S727" i="1" s="1"/>
  <c r="J727" i="1" s="1"/>
  <c r="P730" i="1"/>
  <c r="Q730" i="1" s="1"/>
  <c r="S730" i="1" s="1"/>
  <c r="J730" i="1" s="1"/>
  <c r="P732" i="1"/>
  <c r="Q732" i="1" s="1"/>
  <c r="S732" i="1" s="1"/>
  <c r="J732" i="1" s="1"/>
  <c r="P734" i="1"/>
  <c r="Q734" i="1" s="1"/>
  <c r="S734" i="1" s="1"/>
  <c r="J734" i="1" s="1"/>
  <c r="P736" i="1"/>
  <c r="Q736" i="1" s="1"/>
  <c r="S736" i="1" s="1"/>
  <c r="J736" i="1" s="1"/>
  <c r="P739" i="1"/>
  <c r="Q739" i="1" s="1"/>
  <c r="S739" i="1" s="1"/>
  <c r="J739" i="1" s="1"/>
  <c r="P741" i="1"/>
  <c r="Q741" i="1" s="1"/>
  <c r="S741" i="1" s="1"/>
  <c r="J741" i="1" s="1"/>
  <c r="P743" i="1"/>
  <c r="Q743" i="1" s="1"/>
  <c r="S743" i="1" s="1"/>
  <c r="J743" i="1" s="1"/>
  <c r="P748" i="1"/>
  <c r="Q748" i="1" s="1"/>
  <c r="S748" i="1" s="1"/>
  <c r="J748" i="1" s="1"/>
  <c r="P751" i="1"/>
  <c r="Q751" i="1" s="1"/>
  <c r="S751" i="1" s="1"/>
  <c r="J751" i="1" s="1"/>
  <c r="P753" i="1"/>
  <c r="Q753" i="1" s="1"/>
  <c r="S753" i="1" s="1"/>
  <c r="J753" i="1" s="1"/>
  <c r="P755" i="1"/>
  <c r="Q755" i="1" s="1"/>
  <c r="S755" i="1" s="1"/>
  <c r="J755" i="1" s="1"/>
  <c r="P757" i="1"/>
  <c r="Q757" i="1" s="1"/>
  <c r="S757" i="1" s="1"/>
  <c r="J757" i="1" s="1"/>
  <c r="P760" i="1"/>
  <c r="Q760" i="1" s="1"/>
  <c r="S760" i="1" s="1"/>
  <c r="J760" i="1" s="1"/>
  <c r="P762" i="1"/>
  <c r="Q762" i="1" s="1"/>
  <c r="S762" i="1" s="1"/>
  <c r="J762" i="1" s="1"/>
  <c r="P764" i="1"/>
  <c r="Q764" i="1" s="1"/>
  <c r="S764" i="1" s="1"/>
  <c r="J764" i="1" s="1"/>
  <c r="P766" i="1"/>
  <c r="Q766" i="1" s="1"/>
  <c r="S766" i="1" s="1"/>
  <c r="J766" i="1" s="1"/>
  <c r="P768" i="1"/>
  <c r="Q768" i="1" s="1"/>
  <c r="S768" i="1" s="1"/>
  <c r="J768" i="1" s="1"/>
  <c r="P770" i="1"/>
  <c r="Q770" i="1" s="1"/>
  <c r="S770" i="1" s="1"/>
  <c r="J770" i="1" s="1"/>
  <c r="P774" i="1"/>
  <c r="Q774" i="1" s="1"/>
  <c r="S774" i="1" s="1"/>
  <c r="J774" i="1" s="1"/>
  <c r="P776" i="1"/>
  <c r="Q776" i="1" s="1"/>
  <c r="S776" i="1" s="1"/>
  <c r="J776" i="1" s="1"/>
  <c r="K777" i="1"/>
  <c r="Y777" i="1"/>
  <c r="Y798" i="1"/>
  <c r="K798" i="1"/>
  <c r="Y814" i="1"/>
  <c r="K814" i="1"/>
  <c r="K827" i="1"/>
  <c r="Y827" i="1"/>
  <c r="Y828" i="1"/>
  <c r="K828" i="1"/>
  <c r="Y830" i="1"/>
  <c r="K830" i="1"/>
  <c r="P834" i="1"/>
  <c r="Q834" i="1" s="1"/>
  <c r="S834" i="1" s="1"/>
  <c r="J834" i="1" s="1"/>
  <c r="P836" i="1"/>
  <c r="Q836" i="1" s="1"/>
  <c r="S836" i="1" s="1"/>
  <c r="J836" i="1" s="1"/>
  <c r="P840" i="1"/>
  <c r="Q840" i="1" s="1"/>
  <c r="S840" i="1" s="1"/>
  <c r="J840" i="1" s="1"/>
  <c r="P842" i="1"/>
  <c r="Q842" i="1" s="1"/>
  <c r="S842" i="1" s="1"/>
  <c r="J842" i="1" s="1"/>
  <c r="P844" i="1"/>
  <c r="Q844" i="1" s="1"/>
  <c r="S844" i="1" s="1"/>
  <c r="J844" i="1" s="1"/>
  <c r="P846" i="1"/>
  <c r="Q846" i="1" s="1"/>
  <c r="S846" i="1" s="1"/>
  <c r="J846" i="1" s="1"/>
  <c r="P848" i="1"/>
  <c r="Q848" i="1" s="1"/>
  <c r="S848" i="1" s="1"/>
  <c r="J848" i="1" s="1"/>
  <c r="P850" i="1"/>
  <c r="Q850" i="1" s="1"/>
  <c r="S850" i="1" s="1"/>
  <c r="J850" i="1" s="1"/>
  <c r="K851" i="1"/>
  <c r="Y851" i="1"/>
  <c r="P866" i="1"/>
  <c r="Q866" i="1" s="1"/>
  <c r="S866" i="1" s="1"/>
  <c r="J866" i="1" s="1"/>
  <c r="P868" i="1"/>
  <c r="Q868" i="1" s="1"/>
  <c r="S868" i="1" s="1"/>
  <c r="J868" i="1" s="1"/>
  <c r="P870" i="1"/>
  <c r="Q870" i="1" s="1"/>
  <c r="S870" i="1" s="1"/>
  <c r="J870" i="1" s="1"/>
  <c r="P874" i="1"/>
  <c r="Q874" i="1" s="1"/>
  <c r="S874" i="1" s="1"/>
  <c r="J874" i="1" s="1"/>
  <c r="Y898" i="1"/>
  <c r="K898" i="1"/>
  <c r="Y902" i="1"/>
  <c r="K902" i="1"/>
  <c r="Y906" i="1"/>
  <c r="K906" i="1"/>
  <c r="Y909" i="1"/>
  <c r="K909" i="1"/>
  <c r="Y911" i="1"/>
  <c r="K911" i="1"/>
  <c r="Y917" i="1"/>
  <c r="K917" i="1"/>
  <c r="Y921" i="1"/>
  <c r="K921" i="1"/>
  <c r="Y925" i="1"/>
  <c r="K925" i="1"/>
  <c r="Y929" i="1"/>
  <c r="K929" i="1"/>
  <c r="Y933" i="1"/>
  <c r="K933" i="1"/>
  <c r="Y937" i="1"/>
  <c r="K937" i="1"/>
  <c r="Y941" i="1"/>
  <c r="K941" i="1"/>
  <c r="Y945" i="1"/>
  <c r="K945" i="1"/>
  <c r="Y949" i="1"/>
  <c r="K949" i="1"/>
  <c r="Y953" i="1"/>
  <c r="K953" i="1"/>
  <c r="Y957" i="1"/>
  <c r="K957" i="1"/>
  <c r="Y962" i="1"/>
  <c r="K962" i="1"/>
  <c r="Y966" i="1"/>
  <c r="K966" i="1"/>
  <c r="Y970" i="1"/>
  <c r="K970" i="1"/>
  <c r="Y974" i="1"/>
  <c r="K974" i="1"/>
  <c r="O9" i="1"/>
  <c r="I375" i="1"/>
  <c r="O375" i="1"/>
  <c r="P383" i="1"/>
  <c r="Q383" i="1" s="1"/>
  <c r="S383" i="1" s="1"/>
  <c r="J383" i="1" s="1"/>
  <c r="P384" i="1"/>
  <c r="Q384" i="1" s="1"/>
  <c r="S384" i="1" s="1"/>
  <c r="J384" i="1" s="1"/>
  <c r="P385" i="1"/>
  <c r="Q385" i="1" s="1"/>
  <c r="S385" i="1" s="1"/>
  <c r="J385" i="1" s="1"/>
  <c r="P386" i="1"/>
  <c r="Q386" i="1" s="1"/>
  <c r="S386" i="1" s="1"/>
  <c r="J386" i="1" s="1"/>
  <c r="P387" i="1"/>
  <c r="Q387" i="1" s="1"/>
  <c r="S387" i="1" s="1"/>
  <c r="J387" i="1" s="1"/>
  <c r="P388" i="1"/>
  <c r="Q388" i="1" s="1"/>
  <c r="S388" i="1" s="1"/>
  <c r="J388" i="1" s="1"/>
  <c r="P389" i="1"/>
  <c r="Q389" i="1" s="1"/>
  <c r="S389" i="1" s="1"/>
  <c r="J389" i="1" s="1"/>
  <c r="P390" i="1"/>
  <c r="Q390" i="1" s="1"/>
  <c r="S390" i="1" s="1"/>
  <c r="J390" i="1" s="1"/>
  <c r="P391" i="1"/>
  <c r="Q391" i="1" s="1"/>
  <c r="S391" i="1" s="1"/>
  <c r="J391" i="1" s="1"/>
  <c r="P392" i="1"/>
  <c r="Q392" i="1" s="1"/>
  <c r="S392" i="1" s="1"/>
  <c r="J392" i="1" s="1"/>
  <c r="P393" i="1"/>
  <c r="Q393" i="1" s="1"/>
  <c r="S393" i="1" s="1"/>
  <c r="J393" i="1" s="1"/>
  <c r="P394" i="1"/>
  <c r="Q394" i="1" s="1"/>
  <c r="S394" i="1" s="1"/>
  <c r="J394" i="1" s="1"/>
  <c r="P395" i="1"/>
  <c r="Q395" i="1" s="1"/>
  <c r="S395" i="1" s="1"/>
  <c r="J395" i="1" s="1"/>
  <c r="P396" i="1"/>
  <c r="Q396" i="1" s="1"/>
  <c r="S396" i="1" s="1"/>
  <c r="J396" i="1" s="1"/>
  <c r="P397" i="1"/>
  <c r="Q397" i="1" s="1"/>
  <c r="S397" i="1" s="1"/>
  <c r="J397" i="1" s="1"/>
  <c r="P398" i="1"/>
  <c r="Q398" i="1" s="1"/>
  <c r="S398" i="1" s="1"/>
  <c r="J398" i="1" s="1"/>
  <c r="P399" i="1"/>
  <c r="Q399" i="1" s="1"/>
  <c r="S399" i="1" s="1"/>
  <c r="J399" i="1" s="1"/>
  <c r="P400" i="1"/>
  <c r="Q400" i="1" s="1"/>
  <c r="S400" i="1" s="1"/>
  <c r="J400" i="1" s="1"/>
  <c r="P401" i="1"/>
  <c r="Q401" i="1" s="1"/>
  <c r="S401" i="1" s="1"/>
  <c r="J401" i="1" s="1"/>
  <c r="P403" i="1"/>
  <c r="Q403" i="1" s="1"/>
  <c r="S403" i="1" s="1"/>
  <c r="J403" i="1" s="1"/>
  <c r="P404" i="1"/>
  <c r="Q404" i="1" s="1"/>
  <c r="S404" i="1" s="1"/>
  <c r="J404" i="1" s="1"/>
  <c r="P405" i="1"/>
  <c r="Q405" i="1" s="1"/>
  <c r="S405" i="1" s="1"/>
  <c r="J405" i="1" s="1"/>
  <c r="P406" i="1"/>
  <c r="Q406" i="1" s="1"/>
  <c r="S406" i="1" s="1"/>
  <c r="J406" i="1" s="1"/>
  <c r="P407" i="1"/>
  <c r="Q407" i="1" s="1"/>
  <c r="S407" i="1" s="1"/>
  <c r="J407" i="1" s="1"/>
  <c r="P409" i="1"/>
  <c r="Q409" i="1" s="1"/>
  <c r="S409" i="1" s="1"/>
  <c r="J409" i="1" s="1"/>
  <c r="P411" i="1"/>
  <c r="Q411" i="1" s="1"/>
  <c r="S411" i="1" s="1"/>
  <c r="J411" i="1" s="1"/>
  <c r="Y413" i="1"/>
  <c r="K413" i="1"/>
  <c r="K416" i="1"/>
  <c r="Y416" i="1"/>
  <c r="K418" i="1"/>
  <c r="Y418" i="1"/>
  <c r="K420" i="1"/>
  <c r="Y420" i="1"/>
  <c r="Y421" i="1"/>
  <c r="K421" i="1"/>
  <c r="K424" i="1"/>
  <c r="Y424" i="1"/>
  <c r="Y425" i="1"/>
  <c r="K425" i="1"/>
  <c r="K428" i="1"/>
  <c r="Y428" i="1"/>
  <c r="Y429" i="1"/>
  <c r="K429" i="1"/>
  <c r="K437" i="1"/>
  <c r="Y437" i="1"/>
  <c r="Y438" i="1"/>
  <c r="K438" i="1"/>
  <c r="P442" i="1"/>
  <c r="Q442" i="1" s="1"/>
  <c r="S442" i="1" s="1"/>
  <c r="J442" i="1" s="1"/>
  <c r="K456" i="1"/>
  <c r="Y456" i="1"/>
  <c r="K460" i="1"/>
  <c r="Y460" i="1"/>
  <c r="K462" i="1"/>
  <c r="Y462" i="1"/>
  <c r="K464" i="1"/>
  <c r="Y464" i="1"/>
  <c r="Y465" i="1"/>
  <c r="K465" i="1"/>
  <c r="K468" i="1"/>
  <c r="Y468" i="1"/>
  <c r="Y469" i="1"/>
  <c r="K469" i="1"/>
  <c r="K472" i="1"/>
  <c r="Y472" i="1"/>
  <c r="Y478" i="1"/>
  <c r="K478" i="1"/>
  <c r="P484" i="1"/>
  <c r="Q484" i="1" s="1"/>
  <c r="S484" i="1" s="1"/>
  <c r="J484" i="1" s="1"/>
  <c r="K485" i="1"/>
  <c r="Y485" i="1"/>
  <c r="P486" i="1"/>
  <c r="Q486" i="1" s="1"/>
  <c r="S486" i="1" s="1"/>
  <c r="J486" i="1" s="1"/>
  <c r="Y488" i="1"/>
  <c r="K488" i="1"/>
  <c r="P490" i="1"/>
  <c r="Q490" i="1" s="1"/>
  <c r="S490" i="1" s="1"/>
  <c r="J490" i="1" s="1"/>
  <c r="P492" i="1"/>
  <c r="Q492" i="1" s="1"/>
  <c r="S492" i="1" s="1"/>
  <c r="J492" i="1" s="1"/>
  <c r="P494" i="1"/>
  <c r="Q494" i="1" s="1"/>
  <c r="S494" i="1" s="1"/>
  <c r="J494" i="1" s="1"/>
  <c r="P519" i="1"/>
  <c r="Q519" i="1" s="1"/>
  <c r="S519" i="1" s="1"/>
  <c r="J519" i="1" s="1"/>
  <c r="Y520" i="1"/>
  <c r="K520" i="1"/>
  <c r="P522" i="1"/>
  <c r="Q522" i="1" s="1"/>
  <c r="S522" i="1" s="1"/>
  <c r="J522" i="1" s="1"/>
  <c r="K524" i="1"/>
  <c r="Y524" i="1"/>
  <c r="P525" i="1"/>
  <c r="Q525" i="1" s="1"/>
  <c r="S525" i="1" s="1"/>
  <c r="J525" i="1" s="1"/>
  <c r="P527" i="1"/>
  <c r="Q527" i="1" s="1"/>
  <c r="S527" i="1" s="1"/>
  <c r="J527" i="1" s="1"/>
  <c r="P531" i="1"/>
  <c r="Q531" i="1" s="1"/>
  <c r="S531" i="1" s="1"/>
  <c r="J531" i="1" s="1"/>
  <c r="P533" i="1"/>
  <c r="Q533" i="1" s="1"/>
  <c r="S533" i="1" s="1"/>
  <c r="J533" i="1" s="1"/>
  <c r="P535" i="1"/>
  <c r="Q535" i="1" s="1"/>
  <c r="S535" i="1" s="1"/>
  <c r="J535" i="1" s="1"/>
  <c r="Y537" i="1"/>
  <c r="K537" i="1"/>
  <c r="K540" i="1"/>
  <c r="Y540" i="1"/>
  <c r="P543" i="1"/>
  <c r="Q543" i="1" s="1"/>
  <c r="S543" i="1" s="1"/>
  <c r="J543" i="1" s="1"/>
  <c r="P545" i="1"/>
  <c r="Q545" i="1" s="1"/>
  <c r="S545" i="1" s="1"/>
  <c r="J545" i="1" s="1"/>
  <c r="P549" i="1"/>
  <c r="Q549" i="1" s="1"/>
  <c r="S549" i="1" s="1"/>
  <c r="J549" i="1" s="1"/>
  <c r="P551" i="1"/>
  <c r="Q551" i="1" s="1"/>
  <c r="S551" i="1" s="1"/>
  <c r="J551" i="1" s="1"/>
  <c r="P553" i="1"/>
  <c r="Q553" i="1" s="1"/>
  <c r="S553" i="1" s="1"/>
  <c r="J553" i="1" s="1"/>
  <c r="K555" i="1"/>
  <c r="Y555" i="1"/>
  <c r="P556" i="1"/>
  <c r="Q556" i="1" s="1"/>
  <c r="S556" i="1" s="1"/>
  <c r="J556" i="1" s="1"/>
  <c r="P557" i="1"/>
  <c r="Q557" i="1" s="1"/>
  <c r="S557" i="1" s="1"/>
  <c r="J557" i="1" s="1"/>
  <c r="P558" i="1"/>
  <c r="Q558" i="1" s="1"/>
  <c r="S558" i="1" s="1"/>
  <c r="J558" i="1" s="1"/>
  <c r="P559" i="1"/>
  <c r="Q559" i="1" s="1"/>
  <c r="S559" i="1" s="1"/>
  <c r="J559" i="1" s="1"/>
  <c r="P561" i="1"/>
  <c r="Q561" i="1" s="1"/>
  <c r="S561" i="1" s="1"/>
  <c r="J561" i="1" s="1"/>
  <c r="P563" i="1"/>
  <c r="Q563" i="1" s="1"/>
  <c r="S563" i="1" s="1"/>
  <c r="J563" i="1" s="1"/>
  <c r="Y565" i="1"/>
  <c r="K565" i="1"/>
  <c r="P567" i="1"/>
  <c r="Q567" i="1" s="1"/>
  <c r="S567" i="1" s="1"/>
  <c r="J567" i="1" s="1"/>
  <c r="Y569" i="1"/>
  <c r="K569" i="1"/>
  <c r="P571" i="1"/>
  <c r="Q571" i="1" s="1"/>
  <c r="S571" i="1" s="1"/>
  <c r="J571" i="1" s="1"/>
  <c r="P573" i="1"/>
  <c r="Q573" i="1" s="1"/>
  <c r="S573" i="1" s="1"/>
  <c r="J573" i="1" s="1"/>
  <c r="P575" i="1"/>
  <c r="Q575" i="1" s="1"/>
  <c r="S575" i="1" s="1"/>
  <c r="J575" i="1" s="1"/>
  <c r="P577" i="1"/>
  <c r="Q577" i="1" s="1"/>
  <c r="S577" i="1" s="1"/>
  <c r="J577" i="1" s="1"/>
  <c r="P579" i="1"/>
  <c r="Q579" i="1" s="1"/>
  <c r="S579" i="1" s="1"/>
  <c r="J579" i="1" s="1"/>
  <c r="P581" i="1"/>
  <c r="Q581" i="1" s="1"/>
  <c r="S581" i="1" s="1"/>
  <c r="J581" i="1" s="1"/>
  <c r="P583" i="1"/>
  <c r="Q583" i="1" s="1"/>
  <c r="S583" i="1" s="1"/>
  <c r="J583" i="1" s="1"/>
  <c r="P585" i="1"/>
  <c r="Q585" i="1" s="1"/>
  <c r="S585" i="1" s="1"/>
  <c r="J585" i="1" s="1"/>
  <c r="Y591" i="1"/>
  <c r="K591" i="1"/>
  <c r="Y593" i="1"/>
  <c r="K593" i="1"/>
  <c r="K596" i="1"/>
  <c r="Y596" i="1"/>
  <c r="K598" i="1"/>
  <c r="Y598" i="1"/>
  <c r="K600" i="1"/>
  <c r="Y600" i="1"/>
  <c r="K603" i="1"/>
  <c r="Y603" i="1"/>
  <c r="K609" i="1"/>
  <c r="Y609" i="1"/>
  <c r="Y612" i="1"/>
  <c r="K612" i="1"/>
  <c r="Y614" i="1"/>
  <c r="K614" i="1"/>
  <c r="K615" i="1"/>
  <c r="Y615" i="1"/>
  <c r="K617" i="1"/>
  <c r="Y617" i="1"/>
  <c r="K619" i="1"/>
  <c r="Y619" i="1"/>
  <c r="P620" i="1"/>
  <c r="Q620" i="1" s="1"/>
  <c r="S620" i="1" s="1"/>
  <c r="J620" i="1" s="1"/>
  <c r="P622" i="1"/>
  <c r="Q622" i="1" s="1"/>
  <c r="S622" i="1" s="1"/>
  <c r="J622" i="1" s="1"/>
  <c r="P624" i="1"/>
  <c r="Q624" i="1" s="1"/>
  <c r="S624" i="1" s="1"/>
  <c r="J624" i="1" s="1"/>
  <c r="P626" i="1"/>
  <c r="Q626" i="1" s="1"/>
  <c r="S626" i="1" s="1"/>
  <c r="J626" i="1" s="1"/>
  <c r="P628" i="1"/>
  <c r="Q628" i="1" s="1"/>
  <c r="S628" i="1" s="1"/>
  <c r="J628" i="1" s="1"/>
  <c r="P630" i="1"/>
  <c r="Q630" i="1" s="1"/>
  <c r="S630" i="1" s="1"/>
  <c r="J630" i="1" s="1"/>
  <c r="Y633" i="1"/>
  <c r="K633" i="1"/>
  <c r="P640" i="1"/>
  <c r="Q640" i="1" s="1"/>
  <c r="S640" i="1" s="1"/>
  <c r="J640" i="1" s="1"/>
  <c r="P642" i="1"/>
  <c r="Q642" i="1" s="1"/>
  <c r="S642" i="1" s="1"/>
  <c r="J642" i="1" s="1"/>
  <c r="P644" i="1"/>
  <c r="Q644" i="1" s="1"/>
  <c r="S644" i="1" s="1"/>
  <c r="J644" i="1" s="1"/>
  <c r="P646" i="1"/>
  <c r="Q646" i="1" s="1"/>
  <c r="S646" i="1" s="1"/>
  <c r="J646" i="1" s="1"/>
  <c r="Y648" i="1"/>
  <c r="K648" i="1"/>
  <c r="P650" i="1"/>
  <c r="Q650" i="1" s="1"/>
  <c r="S650" i="1" s="1"/>
  <c r="J650" i="1" s="1"/>
  <c r="P654" i="1"/>
  <c r="Q654" i="1" s="1"/>
  <c r="S654" i="1" s="1"/>
  <c r="J654" i="1" s="1"/>
  <c r="K655" i="1"/>
  <c r="Y655" i="1"/>
  <c r="Y656" i="1"/>
  <c r="K656" i="1"/>
  <c r="K659" i="1"/>
  <c r="Y659" i="1"/>
  <c r="P664" i="1"/>
  <c r="Q664" i="1" s="1"/>
  <c r="S664" i="1" s="1"/>
  <c r="J664" i="1" s="1"/>
  <c r="P666" i="1"/>
  <c r="Q666" i="1" s="1"/>
  <c r="S666" i="1" s="1"/>
  <c r="J666" i="1" s="1"/>
  <c r="P668" i="1"/>
  <c r="Q668" i="1" s="1"/>
  <c r="S668" i="1" s="1"/>
  <c r="J668" i="1" s="1"/>
  <c r="P672" i="1"/>
  <c r="Q672" i="1" s="1"/>
  <c r="S672" i="1" s="1"/>
  <c r="J672" i="1" s="1"/>
  <c r="Y676" i="1"/>
  <c r="K676" i="1"/>
  <c r="P677" i="1"/>
  <c r="Q677" i="1" s="1"/>
  <c r="S677" i="1" s="1"/>
  <c r="J677" i="1" s="1"/>
  <c r="P679" i="1"/>
  <c r="Q679" i="1" s="1"/>
  <c r="S679" i="1" s="1"/>
  <c r="J679" i="1" s="1"/>
  <c r="P681" i="1"/>
  <c r="Q681" i="1" s="1"/>
  <c r="S681" i="1" s="1"/>
  <c r="J681" i="1" s="1"/>
  <c r="P683" i="1"/>
  <c r="Q683" i="1" s="1"/>
  <c r="S683" i="1" s="1"/>
  <c r="J683" i="1" s="1"/>
  <c r="P685" i="1"/>
  <c r="Q685" i="1" s="1"/>
  <c r="S685" i="1" s="1"/>
  <c r="J685" i="1" s="1"/>
  <c r="K688" i="1"/>
  <c r="Y688" i="1"/>
  <c r="P697" i="1"/>
  <c r="Q697" i="1" s="1"/>
  <c r="S697" i="1" s="1"/>
  <c r="J697" i="1" s="1"/>
  <c r="P699" i="1"/>
  <c r="Q699" i="1" s="1"/>
  <c r="S699" i="1" s="1"/>
  <c r="J699" i="1" s="1"/>
  <c r="K700" i="1"/>
  <c r="Y700" i="1"/>
  <c r="P701" i="1"/>
  <c r="Q701" i="1" s="1"/>
  <c r="S701" i="1" s="1"/>
  <c r="J701" i="1" s="1"/>
  <c r="P703" i="1"/>
  <c r="Q703" i="1" s="1"/>
  <c r="S703" i="1" s="1"/>
  <c r="J703" i="1" s="1"/>
  <c r="P709" i="1"/>
  <c r="Q709" i="1" s="1"/>
  <c r="S709" i="1" s="1"/>
  <c r="J709" i="1" s="1"/>
  <c r="P711" i="1"/>
  <c r="Q711" i="1" s="1"/>
  <c r="S711" i="1" s="1"/>
  <c r="J711" i="1" s="1"/>
  <c r="P713" i="1"/>
  <c r="Q713" i="1" s="1"/>
  <c r="S713" i="1" s="1"/>
  <c r="J713" i="1" s="1"/>
  <c r="Y721" i="1"/>
  <c r="K721" i="1"/>
  <c r="P726" i="1"/>
  <c r="Q726" i="1" s="1"/>
  <c r="S726" i="1" s="1"/>
  <c r="J726" i="1" s="1"/>
  <c r="P728" i="1"/>
  <c r="Q728" i="1" s="1"/>
  <c r="S728" i="1" s="1"/>
  <c r="J728" i="1" s="1"/>
  <c r="P729" i="1"/>
  <c r="Q729" i="1" s="1"/>
  <c r="S729" i="1" s="1"/>
  <c r="J729" i="1" s="1"/>
  <c r="P735" i="1"/>
  <c r="Q735" i="1" s="1"/>
  <c r="S735" i="1" s="1"/>
  <c r="J735" i="1" s="1"/>
  <c r="P737" i="1"/>
  <c r="Q737" i="1" s="1"/>
  <c r="S737" i="1" s="1"/>
  <c r="J737" i="1" s="1"/>
  <c r="Y738" i="1"/>
  <c r="K738" i="1"/>
  <c r="P740" i="1"/>
  <c r="Q740" i="1" s="1"/>
  <c r="S740" i="1" s="1"/>
  <c r="J740" i="1" s="1"/>
  <c r="P742" i="1"/>
  <c r="Q742" i="1" s="1"/>
  <c r="S742" i="1" s="1"/>
  <c r="J742" i="1" s="1"/>
  <c r="K744" i="1"/>
  <c r="Y744" i="1"/>
  <c r="K745" i="1"/>
  <c r="Y745" i="1"/>
  <c r="K746" i="1"/>
  <c r="Y746" i="1"/>
  <c r="P747" i="1"/>
  <c r="Q747" i="1" s="1"/>
  <c r="S747" i="1" s="1"/>
  <c r="J747" i="1" s="1"/>
  <c r="P749" i="1"/>
  <c r="Q749" i="1" s="1"/>
  <c r="S749" i="1" s="1"/>
  <c r="J749" i="1" s="1"/>
  <c r="P750" i="1"/>
  <c r="Q750" i="1" s="1"/>
  <c r="S750" i="1" s="1"/>
  <c r="J750" i="1" s="1"/>
  <c r="P752" i="1"/>
  <c r="Q752" i="1" s="1"/>
  <c r="S752" i="1" s="1"/>
  <c r="J752" i="1" s="1"/>
  <c r="P754" i="1"/>
  <c r="Q754" i="1" s="1"/>
  <c r="S754" i="1" s="1"/>
  <c r="J754" i="1" s="1"/>
  <c r="P756" i="1"/>
  <c r="Q756" i="1" s="1"/>
  <c r="S756" i="1" s="1"/>
  <c r="J756" i="1" s="1"/>
  <c r="P758" i="1"/>
  <c r="Q758" i="1" s="1"/>
  <c r="S758" i="1" s="1"/>
  <c r="J758" i="1" s="1"/>
  <c r="K771" i="1"/>
  <c r="Y771" i="1"/>
  <c r="Y772" i="1"/>
  <c r="K772" i="1"/>
  <c r="P778" i="1"/>
  <c r="Q778" i="1" s="1"/>
  <c r="S778" i="1" s="1"/>
  <c r="J778" i="1" s="1"/>
  <c r="P780" i="1"/>
  <c r="Q780" i="1" s="1"/>
  <c r="S780" i="1" s="1"/>
  <c r="J780" i="1" s="1"/>
  <c r="P782" i="1"/>
  <c r="Q782" i="1" s="1"/>
  <c r="S782" i="1" s="1"/>
  <c r="J782" i="1" s="1"/>
  <c r="P784" i="1"/>
  <c r="Q784" i="1" s="1"/>
  <c r="S784" i="1" s="1"/>
  <c r="J784" i="1" s="1"/>
  <c r="P786" i="1"/>
  <c r="Q786" i="1" s="1"/>
  <c r="S786" i="1" s="1"/>
  <c r="J786" i="1" s="1"/>
  <c r="P788" i="1"/>
  <c r="Q788" i="1" s="1"/>
  <c r="S788" i="1" s="1"/>
  <c r="J788" i="1" s="1"/>
  <c r="P790" i="1"/>
  <c r="Q790" i="1" s="1"/>
  <c r="S790" i="1" s="1"/>
  <c r="J790" i="1" s="1"/>
  <c r="P792" i="1"/>
  <c r="Q792" i="1" s="1"/>
  <c r="S792" i="1" s="1"/>
  <c r="J792" i="1" s="1"/>
  <c r="P794" i="1"/>
  <c r="Q794" i="1" s="1"/>
  <c r="S794" i="1" s="1"/>
  <c r="J794" i="1" s="1"/>
  <c r="P796" i="1"/>
  <c r="Q796" i="1" s="1"/>
  <c r="S796" i="1" s="1"/>
  <c r="J796" i="1" s="1"/>
  <c r="P800" i="1"/>
  <c r="Q800" i="1" s="1"/>
  <c r="S800" i="1" s="1"/>
  <c r="J800" i="1" s="1"/>
  <c r="P802" i="1"/>
  <c r="Q802" i="1" s="1"/>
  <c r="S802" i="1" s="1"/>
  <c r="J802" i="1" s="1"/>
  <c r="P804" i="1"/>
  <c r="Q804" i="1" s="1"/>
  <c r="S804" i="1" s="1"/>
  <c r="J804" i="1" s="1"/>
  <c r="P806" i="1"/>
  <c r="Q806" i="1" s="1"/>
  <c r="S806" i="1" s="1"/>
  <c r="J806" i="1" s="1"/>
  <c r="P808" i="1"/>
  <c r="Q808" i="1" s="1"/>
  <c r="S808" i="1" s="1"/>
  <c r="J808" i="1" s="1"/>
  <c r="P810" i="1"/>
  <c r="Q810" i="1" s="1"/>
  <c r="S810" i="1" s="1"/>
  <c r="J810" i="1" s="1"/>
  <c r="P812" i="1"/>
  <c r="Q812" i="1" s="1"/>
  <c r="S812" i="1" s="1"/>
  <c r="J812" i="1" s="1"/>
  <c r="P816" i="1"/>
  <c r="Q816" i="1" s="1"/>
  <c r="S816" i="1" s="1"/>
  <c r="J816" i="1" s="1"/>
  <c r="P818" i="1"/>
  <c r="Q818" i="1" s="1"/>
  <c r="S818" i="1" s="1"/>
  <c r="J818" i="1" s="1"/>
  <c r="P820" i="1"/>
  <c r="Q820" i="1" s="1"/>
  <c r="S820" i="1" s="1"/>
  <c r="J820" i="1" s="1"/>
  <c r="P822" i="1"/>
  <c r="Q822" i="1" s="1"/>
  <c r="S822" i="1" s="1"/>
  <c r="J822" i="1" s="1"/>
  <c r="P824" i="1"/>
  <c r="Q824" i="1" s="1"/>
  <c r="S824" i="1" s="1"/>
  <c r="J824" i="1" s="1"/>
  <c r="P826" i="1"/>
  <c r="Q826" i="1" s="1"/>
  <c r="S826" i="1" s="1"/>
  <c r="J826" i="1" s="1"/>
  <c r="P832" i="1"/>
  <c r="Q832" i="1" s="1"/>
  <c r="S832" i="1" s="1"/>
  <c r="J832" i="1" s="1"/>
  <c r="K833" i="1"/>
  <c r="Y833" i="1"/>
  <c r="Y837" i="1"/>
  <c r="K837" i="1"/>
  <c r="Y838" i="1"/>
  <c r="K838" i="1"/>
  <c r="P852" i="1"/>
  <c r="Q852" i="1" s="1"/>
  <c r="S852" i="1" s="1"/>
  <c r="J852" i="1" s="1"/>
  <c r="P854" i="1"/>
  <c r="Q854" i="1" s="1"/>
  <c r="S854" i="1" s="1"/>
  <c r="J854" i="1" s="1"/>
  <c r="P856" i="1"/>
  <c r="Q856" i="1" s="1"/>
  <c r="S856" i="1" s="1"/>
  <c r="J856" i="1" s="1"/>
  <c r="P858" i="1"/>
  <c r="Q858" i="1" s="1"/>
  <c r="S858" i="1" s="1"/>
  <c r="J858" i="1" s="1"/>
  <c r="P860" i="1"/>
  <c r="Q860" i="1" s="1"/>
  <c r="S860" i="1" s="1"/>
  <c r="J860" i="1" s="1"/>
  <c r="P862" i="1"/>
  <c r="Q862" i="1" s="1"/>
  <c r="S862" i="1" s="1"/>
  <c r="J862" i="1" s="1"/>
  <c r="P864" i="1"/>
  <c r="Q864" i="1" s="1"/>
  <c r="S864" i="1" s="1"/>
  <c r="J864" i="1" s="1"/>
  <c r="Y900" i="1"/>
  <c r="K900" i="1"/>
  <c r="Y904" i="1"/>
  <c r="K904" i="1"/>
  <c r="Y908" i="1"/>
  <c r="K908" i="1"/>
  <c r="Y910" i="1"/>
  <c r="K910" i="1"/>
  <c r="Y915" i="1"/>
  <c r="K915" i="1"/>
  <c r="Y919" i="1"/>
  <c r="K919" i="1"/>
  <c r="Y923" i="1"/>
  <c r="K923" i="1"/>
  <c r="Y927" i="1"/>
  <c r="K927" i="1"/>
  <c r="Y931" i="1"/>
  <c r="K931" i="1"/>
  <c r="Y935" i="1"/>
  <c r="K935" i="1"/>
  <c r="Y939" i="1"/>
  <c r="K939" i="1"/>
  <c r="Y943" i="1"/>
  <c r="K943" i="1"/>
  <c r="Y947" i="1"/>
  <c r="K947" i="1"/>
  <c r="Y951" i="1"/>
  <c r="K951" i="1"/>
  <c r="Y955" i="1"/>
  <c r="K955" i="1"/>
  <c r="Y959" i="1"/>
  <c r="K959" i="1"/>
  <c r="Y964" i="1"/>
  <c r="K964" i="1"/>
  <c r="Y968" i="1"/>
  <c r="K968" i="1"/>
  <c r="Y972" i="1"/>
  <c r="K972" i="1"/>
  <c r="O376" i="1"/>
  <c r="O377" i="1"/>
  <c r="O378" i="1"/>
  <c r="O379" i="1"/>
  <c r="O380" i="1"/>
  <c r="O381" i="1"/>
  <c r="O408" i="1"/>
  <c r="I409" i="1"/>
  <c r="O410" i="1"/>
  <c r="I411" i="1"/>
  <c r="O412" i="1"/>
  <c r="I433" i="1"/>
  <c r="O434" i="1"/>
  <c r="I435" i="1"/>
  <c r="I436" i="1"/>
  <c r="O441" i="1"/>
  <c r="I443" i="1"/>
  <c r="I444" i="1"/>
  <c r="I445" i="1"/>
  <c r="I447" i="1"/>
  <c r="I448" i="1"/>
  <c r="I450" i="1"/>
  <c r="I451" i="1"/>
  <c r="I457" i="1"/>
  <c r="O458" i="1"/>
  <c r="O473" i="1"/>
  <c r="O474" i="1"/>
  <c r="O475" i="1"/>
  <c r="O476" i="1"/>
  <c r="O477" i="1"/>
  <c r="I484" i="1"/>
  <c r="I486" i="1"/>
  <c r="O489" i="1"/>
  <c r="I490" i="1"/>
  <c r="I492" i="1"/>
  <c r="O493" i="1"/>
  <c r="I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I509" i="1"/>
  <c r="O510" i="1"/>
  <c r="I511" i="1"/>
  <c r="O512" i="1"/>
  <c r="I513" i="1"/>
  <c r="O514" i="1"/>
  <c r="I515" i="1"/>
  <c r="O516" i="1"/>
  <c r="I517" i="1"/>
  <c r="I522" i="1"/>
  <c r="O523" i="1"/>
  <c r="I525" i="1"/>
  <c r="O526" i="1"/>
  <c r="I527" i="1"/>
  <c r="O528" i="1"/>
  <c r="O530" i="1"/>
  <c r="I531" i="1"/>
  <c r="O532" i="1"/>
  <c r="I533" i="1"/>
  <c r="O534" i="1"/>
  <c r="I535" i="1"/>
  <c r="O536" i="1"/>
  <c r="O542" i="1"/>
  <c r="I543" i="1"/>
  <c r="O544" i="1"/>
  <c r="I545" i="1"/>
  <c r="O546" i="1"/>
  <c r="O548" i="1"/>
  <c r="I549" i="1"/>
  <c r="O550" i="1"/>
  <c r="I551" i="1"/>
  <c r="O552" i="1"/>
  <c r="I553" i="1"/>
  <c r="I556" i="1"/>
  <c r="I557" i="1"/>
  <c r="I558" i="1"/>
  <c r="I559" i="1"/>
  <c r="I561" i="1"/>
  <c r="I563" i="1"/>
  <c r="I567" i="1"/>
  <c r="I571" i="1"/>
  <c r="I573" i="1"/>
  <c r="I575" i="1"/>
  <c r="I577" i="1"/>
  <c r="I579" i="1"/>
  <c r="I581" i="1"/>
  <c r="I583" i="1"/>
  <c r="I585" i="1"/>
  <c r="O586" i="1"/>
  <c r="I588" i="1"/>
  <c r="O590" i="1"/>
  <c r="O595" i="1"/>
  <c r="O601" i="1"/>
  <c r="O602" i="1"/>
  <c r="O604" i="1"/>
  <c r="O605" i="1"/>
  <c r="O607" i="1"/>
  <c r="I620" i="1"/>
  <c r="O621" i="1"/>
  <c r="I622" i="1"/>
  <c r="O623" i="1"/>
  <c r="I624" i="1"/>
  <c r="O625" i="1"/>
  <c r="I626" i="1"/>
  <c r="O627" i="1"/>
  <c r="I628" i="1"/>
  <c r="O629" i="1"/>
  <c r="I630" i="1"/>
  <c r="O631" i="1"/>
  <c r="O639" i="1"/>
  <c r="I640" i="1"/>
  <c r="O641" i="1"/>
  <c r="I642" i="1"/>
  <c r="O643" i="1"/>
  <c r="I644" i="1"/>
  <c r="O645" i="1"/>
  <c r="I646" i="1"/>
  <c r="O649" i="1"/>
  <c r="I650" i="1"/>
  <c r="O651" i="1"/>
  <c r="O653" i="1"/>
  <c r="O657" i="1"/>
  <c r="I660" i="1"/>
  <c r="O661" i="1"/>
  <c r="I662" i="1"/>
  <c r="O663" i="1"/>
  <c r="O667" i="1"/>
  <c r="O669" i="1"/>
  <c r="I670" i="1"/>
  <c r="O671" i="1"/>
  <c r="O673" i="1"/>
  <c r="I674" i="1"/>
  <c r="O675" i="1"/>
  <c r="I677" i="1"/>
  <c r="O678" i="1"/>
  <c r="I679" i="1"/>
  <c r="O680" i="1"/>
  <c r="I681" i="1"/>
  <c r="O682" i="1"/>
  <c r="I683" i="1"/>
  <c r="O684" i="1"/>
  <c r="I685" i="1"/>
  <c r="O686" i="1"/>
  <c r="I689" i="1"/>
  <c r="O690" i="1"/>
  <c r="I691" i="1"/>
  <c r="O692" i="1"/>
  <c r="I693" i="1"/>
  <c r="O694" i="1"/>
  <c r="I695" i="1"/>
  <c r="O696" i="1"/>
  <c r="O698" i="1"/>
  <c r="I701" i="1"/>
  <c r="O702" i="1"/>
  <c r="I703" i="1"/>
  <c r="O704" i="1"/>
  <c r="O706" i="1"/>
  <c r="O710" i="1"/>
  <c r="O712" i="1"/>
  <c r="O714" i="1"/>
  <c r="I715" i="1"/>
  <c r="O716" i="1"/>
  <c r="I717" i="1"/>
  <c r="O718" i="1"/>
  <c r="I719" i="1"/>
  <c r="O720" i="1"/>
  <c r="O722" i="1"/>
  <c r="I724" i="1"/>
  <c r="O725" i="1"/>
  <c r="I726" i="1"/>
  <c r="I728" i="1"/>
  <c r="I730" i="1"/>
  <c r="O731" i="1"/>
  <c r="I732" i="1"/>
  <c r="O733" i="1"/>
  <c r="I734" i="1"/>
  <c r="I736" i="1"/>
  <c r="I740" i="1"/>
  <c r="I742" i="1"/>
  <c r="I747" i="1"/>
  <c r="I749" i="1"/>
  <c r="I750" i="1"/>
  <c r="I752" i="1"/>
  <c r="I754" i="1"/>
  <c r="I756" i="1"/>
  <c r="I758" i="1"/>
  <c r="O759" i="1"/>
  <c r="O761" i="1"/>
  <c r="O763" i="1"/>
  <c r="O765" i="1"/>
  <c r="O767" i="1"/>
  <c r="O769" i="1"/>
  <c r="O773" i="1"/>
  <c r="O775" i="1"/>
  <c r="O779" i="1"/>
  <c r="O781" i="1"/>
  <c r="O783" i="1"/>
  <c r="O785" i="1"/>
  <c r="O787" i="1"/>
  <c r="O789" i="1"/>
  <c r="O791" i="1"/>
  <c r="O793" i="1"/>
  <c r="O795" i="1"/>
  <c r="O797" i="1"/>
  <c r="O799" i="1"/>
  <c r="O801" i="1"/>
  <c r="O803" i="1"/>
  <c r="O805" i="1"/>
  <c r="O807" i="1"/>
  <c r="O809" i="1"/>
  <c r="O811" i="1"/>
  <c r="O813" i="1"/>
  <c r="O815" i="1"/>
  <c r="O817" i="1"/>
  <c r="O819" i="1"/>
  <c r="O821" i="1"/>
  <c r="O823" i="1"/>
  <c r="O825" i="1"/>
  <c r="O829" i="1"/>
  <c r="O831" i="1"/>
  <c r="O835" i="1"/>
  <c r="O839" i="1"/>
  <c r="O841" i="1"/>
  <c r="O843" i="1"/>
  <c r="O845" i="1"/>
  <c r="O847" i="1"/>
  <c r="O849" i="1"/>
  <c r="O853" i="1"/>
  <c r="O855" i="1"/>
  <c r="O857" i="1"/>
  <c r="O859" i="1"/>
  <c r="O861" i="1"/>
  <c r="O863" i="1"/>
  <c r="O865" i="1"/>
  <c r="O867" i="1"/>
  <c r="O869" i="1"/>
  <c r="O871" i="1"/>
  <c r="O873" i="1"/>
  <c r="O875" i="1"/>
  <c r="O880" i="1"/>
  <c r="O884" i="1"/>
  <c r="O892" i="1"/>
  <c r="O896" i="1"/>
  <c r="Y975" i="1"/>
  <c r="K975" i="1"/>
  <c r="K976" i="1"/>
  <c r="Y976" i="1"/>
  <c r="Y978" i="1"/>
  <c r="K978" i="1"/>
  <c r="K979" i="1"/>
  <c r="Y979" i="1"/>
  <c r="Y982" i="1"/>
  <c r="K982" i="1"/>
  <c r="K983" i="1"/>
  <c r="Y983" i="1"/>
  <c r="Y986" i="1"/>
  <c r="K986" i="1"/>
  <c r="K987" i="1"/>
  <c r="Y987" i="1"/>
  <c r="Y990" i="1"/>
  <c r="K990" i="1"/>
  <c r="K991" i="1"/>
  <c r="Y991" i="1"/>
  <c r="Y994" i="1"/>
  <c r="K994" i="1"/>
  <c r="K995" i="1"/>
  <c r="Y995" i="1"/>
  <c r="Y998" i="1"/>
  <c r="K998" i="1"/>
  <c r="K999" i="1"/>
  <c r="Y999" i="1"/>
  <c r="Y1002" i="1"/>
  <c r="K1002" i="1"/>
  <c r="K1003" i="1"/>
  <c r="Y1003" i="1"/>
  <c r="Y1006" i="1"/>
  <c r="K1006" i="1"/>
  <c r="K1007" i="1"/>
  <c r="Y1007" i="1"/>
  <c r="Y1010" i="1"/>
  <c r="K1010" i="1"/>
  <c r="K1011" i="1"/>
  <c r="Y1011" i="1"/>
  <c r="Y1014" i="1"/>
  <c r="K1014" i="1"/>
  <c r="K1015" i="1"/>
  <c r="Y1015" i="1"/>
  <c r="Y1018" i="1"/>
  <c r="K1018" i="1"/>
  <c r="K1019" i="1"/>
  <c r="Y1019" i="1"/>
  <c r="Y1022" i="1"/>
  <c r="K1022" i="1"/>
  <c r="K1023" i="1"/>
  <c r="Y1023" i="1"/>
  <c r="Y1026" i="1"/>
  <c r="K1026" i="1"/>
  <c r="K1027" i="1"/>
  <c r="Y1027" i="1"/>
  <c r="Y1030" i="1"/>
  <c r="K1030" i="1"/>
  <c r="K1031" i="1"/>
  <c r="Y1031" i="1"/>
  <c r="Y1034" i="1"/>
  <c r="K1034" i="1"/>
  <c r="K1035" i="1"/>
  <c r="Y1035" i="1"/>
  <c r="Y1038" i="1"/>
  <c r="K1038" i="1"/>
  <c r="Y1039" i="1"/>
  <c r="K1039" i="1"/>
  <c r="Y1040" i="1"/>
  <c r="K1040" i="1"/>
  <c r="Y1041" i="1"/>
  <c r="K1041" i="1"/>
  <c r="Y1042" i="1"/>
  <c r="K1042" i="1"/>
  <c r="Y1043" i="1"/>
  <c r="K1043" i="1"/>
  <c r="K1044" i="1"/>
  <c r="Y1044" i="1"/>
  <c r="Y1047" i="1"/>
  <c r="K1047" i="1"/>
  <c r="K1048" i="1"/>
  <c r="Y1048" i="1"/>
  <c r="Y1051" i="1"/>
  <c r="K1051" i="1"/>
  <c r="K1052" i="1"/>
  <c r="Y1052" i="1"/>
  <c r="Y1055" i="1"/>
  <c r="K1055" i="1"/>
  <c r="K1056" i="1"/>
  <c r="Y1056" i="1"/>
  <c r="Y1059" i="1"/>
  <c r="K1059" i="1"/>
  <c r="K1060" i="1"/>
  <c r="Y1060" i="1"/>
  <c r="Y1063" i="1"/>
  <c r="K1063" i="1"/>
  <c r="Y1064" i="1"/>
  <c r="K1064" i="1"/>
  <c r="Y1065" i="1"/>
  <c r="K1065" i="1"/>
  <c r="Y1066" i="1"/>
  <c r="K1066" i="1"/>
  <c r="K1067" i="1"/>
  <c r="Y1067" i="1"/>
  <c r="Y1070" i="1"/>
  <c r="K1070" i="1"/>
  <c r="K1071" i="1"/>
  <c r="Y1071" i="1"/>
  <c r="Y1074" i="1"/>
  <c r="K1074" i="1"/>
  <c r="K1075" i="1"/>
  <c r="Y1075" i="1"/>
  <c r="Y1078" i="1"/>
  <c r="K1078" i="1"/>
  <c r="K1079" i="1"/>
  <c r="Y1079" i="1"/>
  <c r="Y1081" i="1"/>
  <c r="K1081" i="1"/>
  <c r="K1082" i="1"/>
  <c r="Y1082" i="1"/>
  <c r="Y1085" i="1"/>
  <c r="K1085" i="1"/>
  <c r="K1086" i="1"/>
  <c r="Y1086" i="1"/>
  <c r="Y1096" i="1"/>
  <c r="K1096" i="1"/>
  <c r="K1097" i="1"/>
  <c r="Y1097" i="1"/>
  <c r="Y1100" i="1"/>
  <c r="K1100" i="1"/>
  <c r="K1101" i="1"/>
  <c r="Y1101" i="1"/>
  <c r="Y1104" i="1"/>
  <c r="K1104" i="1"/>
  <c r="K1105" i="1"/>
  <c r="Y1105" i="1"/>
  <c r="Y1108" i="1"/>
  <c r="K1108" i="1"/>
  <c r="K1109" i="1"/>
  <c r="Y1109" i="1"/>
  <c r="Y1112" i="1"/>
  <c r="K1112" i="1"/>
  <c r="K1113" i="1"/>
  <c r="Y1113" i="1"/>
  <c r="Y1116" i="1"/>
  <c r="K1116" i="1"/>
  <c r="K1117" i="1"/>
  <c r="Y1117" i="1"/>
  <c r="Y1120" i="1"/>
  <c r="K1120" i="1"/>
  <c r="K1121" i="1"/>
  <c r="Y1121" i="1"/>
  <c r="Y1124" i="1"/>
  <c r="K1124" i="1"/>
  <c r="Y1126" i="1"/>
  <c r="K1126" i="1"/>
  <c r="K1127" i="1"/>
  <c r="Y1127" i="1"/>
  <c r="Y1130" i="1"/>
  <c r="K1130" i="1"/>
  <c r="K1132" i="1"/>
  <c r="Y1132" i="1"/>
  <c r="K1135" i="1"/>
  <c r="Y1135" i="1"/>
  <c r="Y1138" i="1"/>
  <c r="K1138" i="1"/>
  <c r="K1139" i="1"/>
  <c r="Y1139" i="1"/>
  <c r="Y1142" i="1"/>
  <c r="K1142" i="1"/>
  <c r="K1143" i="1"/>
  <c r="Y1143" i="1"/>
  <c r="Y1146" i="1"/>
  <c r="K1146" i="1"/>
  <c r="K1147" i="1"/>
  <c r="Y1147" i="1"/>
  <c r="Y1150" i="1"/>
  <c r="K1150" i="1"/>
  <c r="K1151" i="1"/>
  <c r="Y1151" i="1"/>
  <c r="Y1154" i="1"/>
  <c r="K1154" i="1"/>
  <c r="K1155" i="1"/>
  <c r="Y1155" i="1"/>
  <c r="Y1158" i="1"/>
  <c r="K1158" i="1"/>
  <c r="K1159" i="1"/>
  <c r="Y1159" i="1"/>
  <c r="Y1163" i="1"/>
  <c r="K1163" i="1"/>
  <c r="Y1164" i="1"/>
  <c r="K1164" i="1"/>
  <c r="K1165" i="1"/>
  <c r="Y1165" i="1"/>
  <c r="Y1168" i="1"/>
  <c r="K1168" i="1"/>
  <c r="K1169" i="1"/>
  <c r="Y1169" i="1"/>
  <c r="K1171" i="1"/>
  <c r="Y1171" i="1"/>
  <c r="Y1174" i="1"/>
  <c r="K1174" i="1"/>
  <c r="K1175" i="1"/>
  <c r="Y1175" i="1"/>
  <c r="Y1178" i="1"/>
  <c r="K1178" i="1"/>
  <c r="K1179" i="1"/>
  <c r="Y1179" i="1"/>
  <c r="Y1182" i="1"/>
  <c r="K1182" i="1"/>
  <c r="K1183" i="1"/>
  <c r="Y1183" i="1"/>
  <c r="Y1186" i="1"/>
  <c r="K1186" i="1"/>
  <c r="K1187" i="1"/>
  <c r="Y1187" i="1"/>
  <c r="Y1190" i="1"/>
  <c r="K1190" i="1"/>
  <c r="K1191" i="1"/>
  <c r="Y1191" i="1"/>
  <c r="K1192" i="1"/>
  <c r="Y1192" i="1"/>
  <c r="Y1195" i="1"/>
  <c r="K1195" i="1"/>
  <c r="K1196" i="1"/>
  <c r="Y1196" i="1"/>
  <c r="Y1198" i="1"/>
  <c r="K1198" i="1"/>
  <c r="K1199" i="1"/>
  <c r="Y1199" i="1"/>
  <c r="Y1202" i="1"/>
  <c r="K1202" i="1"/>
  <c r="K1203" i="1"/>
  <c r="Y1203" i="1"/>
  <c r="Y1206" i="1"/>
  <c r="K1206" i="1"/>
  <c r="K1207" i="1"/>
  <c r="Y1207" i="1"/>
  <c r="Y1211" i="1"/>
  <c r="K1211" i="1"/>
  <c r="K1212" i="1"/>
  <c r="Y1212" i="1"/>
  <c r="Y1215" i="1"/>
  <c r="K1215" i="1"/>
  <c r="K1216" i="1"/>
  <c r="Y1216" i="1"/>
  <c r="Y1219" i="1"/>
  <c r="K1219" i="1"/>
  <c r="K1220" i="1"/>
  <c r="Y1220" i="1"/>
  <c r="Y1222" i="1"/>
  <c r="K1222" i="1"/>
  <c r="K1223" i="1"/>
  <c r="Y1223" i="1"/>
  <c r="Y1228" i="1"/>
  <c r="K1228" i="1"/>
  <c r="K1229" i="1"/>
  <c r="Y1229" i="1"/>
  <c r="Y1232" i="1"/>
  <c r="K1232" i="1"/>
  <c r="K1233" i="1"/>
  <c r="Y1233" i="1"/>
  <c r="Y1236" i="1"/>
  <c r="K1236" i="1"/>
  <c r="K1237" i="1"/>
  <c r="Y1237" i="1"/>
  <c r="Y1240" i="1"/>
  <c r="K1240" i="1"/>
  <c r="Y1247" i="1"/>
  <c r="K1247" i="1"/>
  <c r="Y1251" i="1"/>
  <c r="K1251" i="1"/>
  <c r="Y1255" i="1"/>
  <c r="K1255" i="1"/>
  <c r="Y1259" i="1"/>
  <c r="K1259" i="1"/>
  <c r="Y1263" i="1"/>
  <c r="K1263" i="1"/>
  <c r="Y1267" i="1"/>
  <c r="K1267" i="1"/>
  <c r="Y1271" i="1"/>
  <c r="K1271" i="1"/>
  <c r="Y1274" i="1"/>
  <c r="K1274" i="1"/>
  <c r="Y1278" i="1"/>
  <c r="K1278" i="1"/>
  <c r="Y1283" i="1"/>
  <c r="K1283" i="1"/>
  <c r="Y1287" i="1"/>
  <c r="K1287" i="1"/>
  <c r="Y1291" i="1"/>
  <c r="K1291" i="1"/>
  <c r="Y1295" i="1"/>
  <c r="K1295" i="1"/>
  <c r="Y1299" i="1"/>
  <c r="K1299" i="1"/>
  <c r="Y1303" i="1"/>
  <c r="K1303" i="1"/>
  <c r="Y1307" i="1"/>
  <c r="K1307" i="1"/>
  <c r="Y1310" i="1"/>
  <c r="K1310" i="1"/>
  <c r="Y1312" i="1"/>
  <c r="K1312" i="1"/>
  <c r="Y1316" i="1"/>
  <c r="K1316" i="1"/>
  <c r="Y1320" i="1"/>
  <c r="K1320" i="1"/>
  <c r="Y1324" i="1"/>
  <c r="K1324" i="1"/>
  <c r="Y1328" i="1"/>
  <c r="K1328" i="1"/>
  <c r="Y1332" i="1"/>
  <c r="K1332" i="1"/>
  <c r="Y1336" i="1"/>
  <c r="K1336" i="1"/>
  <c r="Y1340" i="1"/>
  <c r="K1340" i="1"/>
  <c r="Y1344" i="1"/>
  <c r="K1344" i="1"/>
  <c r="Y1348" i="1"/>
  <c r="K1348" i="1"/>
  <c r="Y1352" i="1"/>
  <c r="K1352" i="1"/>
  <c r="Y1358" i="1"/>
  <c r="K1358" i="1"/>
  <c r="Y1362" i="1"/>
  <c r="K1362" i="1"/>
  <c r="Y1366" i="1"/>
  <c r="K1366" i="1"/>
  <c r="Y1370" i="1"/>
  <c r="K1370" i="1"/>
  <c r="Y1374" i="1"/>
  <c r="K1374" i="1"/>
  <c r="Y1378" i="1"/>
  <c r="K1378" i="1"/>
  <c r="Y1382" i="1"/>
  <c r="K1382" i="1"/>
  <c r="Y1386" i="1"/>
  <c r="K1386" i="1"/>
  <c r="Y1424" i="1"/>
  <c r="K1424" i="1"/>
  <c r="Y1428" i="1"/>
  <c r="K1428" i="1"/>
  <c r="Y1443" i="1"/>
  <c r="K1443" i="1"/>
  <c r="Y1447" i="1"/>
  <c r="K1447" i="1"/>
  <c r="Y1452" i="1"/>
  <c r="K1452" i="1"/>
  <c r="Y1458" i="1"/>
  <c r="K1458" i="1"/>
  <c r="Y1464" i="1"/>
  <c r="K1464" i="1"/>
  <c r="Y1471" i="1"/>
  <c r="K1471" i="1"/>
  <c r="Y1475" i="1"/>
  <c r="K1475" i="1"/>
  <c r="Y1479" i="1"/>
  <c r="K1479" i="1"/>
  <c r="Y1495" i="1"/>
  <c r="K1495" i="1"/>
  <c r="Y1500" i="1"/>
  <c r="K1500" i="1"/>
  <c r="Y1504" i="1"/>
  <c r="K1504" i="1"/>
  <c r="Y1508" i="1"/>
  <c r="K1508" i="1"/>
  <c r="Y1512" i="1"/>
  <c r="K1512" i="1"/>
  <c r="Y1516" i="1"/>
  <c r="K1516" i="1"/>
  <c r="Y1520" i="1"/>
  <c r="K1520" i="1"/>
  <c r="Y1524" i="1"/>
  <c r="K1524" i="1"/>
  <c r="Y1528" i="1"/>
  <c r="K1528" i="1"/>
  <c r="Y1534" i="1"/>
  <c r="K1534" i="1"/>
  <c r="Y1537" i="1"/>
  <c r="K1537" i="1"/>
  <c r="Y1541" i="1"/>
  <c r="K1541" i="1"/>
  <c r="O877" i="1"/>
  <c r="J879" i="1"/>
  <c r="P881" i="1"/>
  <c r="Q881" i="1" s="1"/>
  <c r="S881" i="1" s="1"/>
  <c r="J881" i="1" s="1"/>
  <c r="O882" i="1"/>
  <c r="J883" i="1"/>
  <c r="P885" i="1"/>
  <c r="Q885" i="1" s="1"/>
  <c r="S885" i="1" s="1"/>
  <c r="J885" i="1" s="1"/>
  <c r="O886" i="1"/>
  <c r="J887" i="1"/>
  <c r="J888" i="1"/>
  <c r="P889" i="1"/>
  <c r="Q889" i="1" s="1"/>
  <c r="S889" i="1" s="1"/>
  <c r="J889" i="1" s="1"/>
  <c r="J891" i="1"/>
  <c r="P893" i="1"/>
  <c r="Q893" i="1" s="1"/>
  <c r="S893" i="1" s="1"/>
  <c r="J893" i="1" s="1"/>
  <c r="O894" i="1"/>
  <c r="J895" i="1"/>
  <c r="J897" i="1"/>
  <c r="J899" i="1"/>
  <c r="J901" i="1"/>
  <c r="J903" i="1"/>
  <c r="J905" i="1"/>
  <c r="J907" i="1"/>
  <c r="J912" i="1"/>
  <c r="J913" i="1"/>
  <c r="J914" i="1"/>
  <c r="J916" i="1"/>
  <c r="J918" i="1"/>
  <c r="J920" i="1"/>
  <c r="J922" i="1"/>
  <c r="J924" i="1"/>
  <c r="J926" i="1"/>
  <c r="J928" i="1"/>
  <c r="J930" i="1"/>
  <c r="J932" i="1"/>
  <c r="J934" i="1"/>
  <c r="J936" i="1"/>
  <c r="J938" i="1"/>
  <c r="J940" i="1"/>
  <c r="J942" i="1"/>
  <c r="J944" i="1"/>
  <c r="J946" i="1"/>
  <c r="J948" i="1"/>
  <c r="J950" i="1"/>
  <c r="J952" i="1"/>
  <c r="J954" i="1"/>
  <c r="J956" i="1"/>
  <c r="J958" i="1"/>
  <c r="J960" i="1"/>
  <c r="J961" i="1"/>
  <c r="J963" i="1"/>
  <c r="J965" i="1"/>
  <c r="J967" i="1"/>
  <c r="J969" i="1"/>
  <c r="J971" i="1"/>
  <c r="J973" i="1"/>
  <c r="Y977" i="1"/>
  <c r="K977" i="1"/>
  <c r="Y980" i="1"/>
  <c r="K980" i="1"/>
  <c r="K981" i="1"/>
  <c r="Y981" i="1"/>
  <c r="Y984" i="1"/>
  <c r="K984" i="1"/>
  <c r="K985" i="1"/>
  <c r="Y985" i="1"/>
  <c r="Y988" i="1"/>
  <c r="K988" i="1"/>
  <c r="K989" i="1"/>
  <c r="Y989" i="1"/>
  <c r="Y992" i="1"/>
  <c r="K992" i="1"/>
  <c r="K993" i="1"/>
  <c r="Y993" i="1"/>
  <c r="Y996" i="1"/>
  <c r="K996" i="1"/>
  <c r="K997" i="1"/>
  <c r="Y997" i="1"/>
  <c r="Y1000" i="1"/>
  <c r="K1000" i="1"/>
  <c r="K1001" i="1"/>
  <c r="Y1001" i="1"/>
  <c r="Y1004" i="1"/>
  <c r="K1004" i="1"/>
  <c r="K1005" i="1"/>
  <c r="Y1005" i="1"/>
  <c r="Y1008" i="1"/>
  <c r="K1008" i="1"/>
  <c r="K1009" i="1"/>
  <c r="Y1009" i="1"/>
  <c r="Y1012" i="1"/>
  <c r="K1012" i="1"/>
  <c r="K1013" i="1"/>
  <c r="Y1013" i="1"/>
  <c r="Y1016" i="1"/>
  <c r="K1016" i="1"/>
  <c r="K1017" i="1"/>
  <c r="Y1017" i="1"/>
  <c r="Y1020" i="1"/>
  <c r="K1020" i="1"/>
  <c r="K1021" i="1"/>
  <c r="Y1021" i="1"/>
  <c r="Y1024" i="1"/>
  <c r="K1024" i="1"/>
  <c r="K1025" i="1"/>
  <c r="Y1025" i="1"/>
  <c r="Y1028" i="1"/>
  <c r="K1028" i="1"/>
  <c r="K1029" i="1"/>
  <c r="Y1029" i="1"/>
  <c r="Y1032" i="1"/>
  <c r="K1032" i="1"/>
  <c r="K1033" i="1"/>
  <c r="Y1033" i="1"/>
  <c r="Y1036" i="1"/>
  <c r="K1036" i="1"/>
  <c r="K1037" i="1"/>
  <c r="Y1037" i="1"/>
  <c r="Y1045" i="1"/>
  <c r="K1045" i="1"/>
  <c r="K1046" i="1"/>
  <c r="Y1046" i="1"/>
  <c r="Y1049" i="1"/>
  <c r="K1049" i="1"/>
  <c r="K1050" i="1"/>
  <c r="Y1050" i="1"/>
  <c r="Y1053" i="1"/>
  <c r="K1053" i="1"/>
  <c r="K1054" i="1"/>
  <c r="Y1054" i="1"/>
  <c r="Y1057" i="1"/>
  <c r="K1057" i="1"/>
  <c r="K1058" i="1"/>
  <c r="Y1058" i="1"/>
  <c r="Y1061" i="1"/>
  <c r="K1061" i="1"/>
  <c r="K1062" i="1"/>
  <c r="Y1062" i="1"/>
  <c r="Y1068" i="1"/>
  <c r="K1068" i="1"/>
  <c r="K1069" i="1"/>
  <c r="Y1069" i="1"/>
  <c r="Y1072" i="1"/>
  <c r="K1072" i="1"/>
  <c r="K1073" i="1"/>
  <c r="Y1073" i="1"/>
  <c r="Y1076" i="1"/>
  <c r="K1076" i="1"/>
  <c r="K1077" i="1"/>
  <c r="Y1077" i="1"/>
  <c r="K1080" i="1"/>
  <c r="Y1080" i="1"/>
  <c r="Y1083" i="1"/>
  <c r="K1083" i="1"/>
  <c r="K1084" i="1"/>
  <c r="Y1084" i="1"/>
  <c r="Y1087" i="1"/>
  <c r="K1087" i="1"/>
  <c r="Y1088" i="1"/>
  <c r="K1088" i="1"/>
  <c r="Y1089" i="1"/>
  <c r="K1089" i="1"/>
  <c r="Y1090" i="1"/>
  <c r="K1090" i="1"/>
  <c r="Y1091" i="1"/>
  <c r="K1091" i="1"/>
  <c r="Y1092" i="1"/>
  <c r="K1092" i="1"/>
  <c r="Y1093" i="1"/>
  <c r="K1093" i="1"/>
  <c r="Y1094" i="1"/>
  <c r="K1094" i="1"/>
  <c r="K1095" i="1"/>
  <c r="Y1095" i="1"/>
  <c r="Y1098" i="1"/>
  <c r="K1098" i="1"/>
  <c r="K1099" i="1"/>
  <c r="Y1099" i="1"/>
  <c r="Y1102" i="1"/>
  <c r="K1102" i="1"/>
  <c r="K1103" i="1"/>
  <c r="Y1103" i="1"/>
  <c r="Y1106" i="1"/>
  <c r="K1106" i="1"/>
  <c r="K1107" i="1"/>
  <c r="Y1107" i="1"/>
  <c r="Y1110" i="1"/>
  <c r="K1110" i="1"/>
  <c r="K1111" i="1"/>
  <c r="Y1111" i="1"/>
  <c r="Y1114" i="1"/>
  <c r="K1114" i="1"/>
  <c r="K1115" i="1"/>
  <c r="Y1115" i="1"/>
  <c r="Y1118" i="1"/>
  <c r="K1118" i="1"/>
  <c r="K1119" i="1"/>
  <c r="Y1119" i="1"/>
  <c r="Y1122" i="1"/>
  <c r="K1122" i="1"/>
  <c r="K1123" i="1"/>
  <c r="Y1123" i="1"/>
  <c r="K1125" i="1"/>
  <c r="Y1125" i="1"/>
  <c r="Y1128" i="1"/>
  <c r="K1128" i="1"/>
  <c r="K1129" i="1"/>
  <c r="Y1129" i="1"/>
  <c r="K1131" i="1"/>
  <c r="Y1131" i="1"/>
  <c r="K1133" i="1"/>
  <c r="Y1133" i="1"/>
  <c r="Y1134" i="1"/>
  <c r="K1134" i="1"/>
  <c r="Y1136" i="1"/>
  <c r="K1136" i="1"/>
  <c r="K1137" i="1"/>
  <c r="Y1137" i="1"/>
  <c r="Y1140" i="1"/>
  <c r="K1140" i="1"/>
  <c r="K1141" i="1"/>
  <c r="Y1141" i="1"/>
  <c r="Y1144" i="1"/>
  <c r="K1144" i="1"/>
  <c r="K1145" i="1"/>
  <c r="Y1145" i="1"/>
  <c r="Y1148" i="1"/>
  <c r="K1148" i="1"/>
  <c r="K1149" i="1"/>
  <c r="Y1149" i="1"/>
  <c r="Y1152" i="1"/>
  <c r="K1152" i="1"/>
  <c r="K1153" i="1"/>
  <c r="Y1153" i="1"/>
  <c r="Y1156" i="1"/>
  <c r="K1156" i="1"/>
  <c r="K1157" i="1"/>
  <c r="Y1157" i="1"/>
  <c r="Y1160" i="1"/>
  <c r="K1160" i="1"/>
  <c r="Y1161" i="1"/>
  <c r="K1161" i="1"/>
  <c r="K1162" i="1"/>
  <c r="Y1162" i="1"/>
  <c r="Y1166" i="1"/>
  <c r="K1166" i="1"/>
  <c r="K1167" i="1"/>
  <c r="Y1167" i="1"/>
  <c r="K1170" i="1"/>
  <c r="Y1170" i="1"/>
  <c r="Y1172" i="1"/>
  <c r="K1172" i="1"/>
  <c r="K1173" i="1"/>
  <c r="Y1173" i="1"/>
  <c r="Y1176" i="1"/>
  <c r="K1176" i="1"/>
  <c r="K1177" i="1"/>
  <c r="Y1177" i="1"/>
  <c r="Y1180" i="1"/>
  <c r="K1180" i="1"/>
  <c r="K1181" i="1"/>
  <c r="Y1181" i="1"/>
  <c r="Y1184" i="1"/>
  <c r="K1184" i="1"/>
  <c r="K1185" i="1"/>
  <c r="Y1185" i="1"/>
  <c r="Y1188" i="1"/>
  <c r="K1188" i="1"/>
  <c r="K1189" i="1"/>
  <c r="Y1189" i="1"/>
  <c r="Y1193" i="1"/>
  <c r="K1193" i="1"/>
  <c r="K1194" i="1"/>
  <c r="Y1194" i="1"/>
  <c r="K1197" i="1"/>
  <c r="Y1197" i="1"/>
  <c r="Y1200" i="1"/>
  <c r="K1200" i="1"/>
  <c r="K1201" i="1"/>
  <c r="Y1201" i="1"/>
  <c r="Y1204" i="1"/>
  <c r="K1204" i="1"/>
  <c r="K1205" i="1"/>
  <c r="Y1205" i="1"/>
  <c r="Y1208" i="1"/>
  <c r="K1208" i="1"/>
  <c r="K1209" i="1"/>
  <c r="Y1209" i="1"/>
  <c r="K1210" i="1"/>
  <c r="Y1210" i="1"/>
  <c r="Y1213" i="1"/>
  <c r="K1213" i="1"/>
  <c r="K1214" i="1"/>
  <c r="Y1214" i="1"/>
  <c r="Y1217" i="1"/>
  <c r="K1217" i="1"/>
  <c r="K1218" i="1"/>
  <c r="Y1218" i="1"/>
  <c r="K1221" i="1"/>
  <c r="Y1221" i="1"/>
  <c r="Y1224" i="1"/>
  <c r="K1224" i="1"/>
  <c r="K1225" i="1"/>
  <c r="Y1225" i="1"/>
  <c r="K1226" i="1"/>
  <c r="Y1226" i="1"/>
  <c r="K1227" i="1"/>
  <c r="Y1227" i="1"/>
  <c r="Y1230" i="1"/>
  <c r="K1230" i="1"/>
  <c r="K1231" i="1"/>
  <c r="Y1231" i="1"/>
  <c r="Y1234" i="1"/>
  <c r="K1234" i="1"/>
  <c r="K1235" i="1"/>
  <c r="Y1235" i="1"/>
  <c r="Y1238" i="1"/>
  <c r="K1238" i="1"/>
  <c r="K1239" i="1"/>
  <c r="Y1239" i="1"/>
  <c r="Y1249" i="1"/>
  <c r="K1249" i="1"/>
  <c r="Y1253" i="1"/>
  <c r="K1253" i="1"/>
  <c r="Y1257" i="1"/>
  <c r="K1257" i="1"/>
  <c r="Y1261" i="1"/>
  <c r="K1261" i="1"/>
  <c r="Y1265" i="1"/>
  <c r="K1265" i="1"/>
  <c r="Y1269" i="1"/>
  <c r="K1269" i="1"/>
  <c r="Y1272" i="1"/>
  <c r="K1272" i="1"/>
  <c r="Y1276" i="1"/>
  <c r="K1276" i="1"/>
  <c r="Y1280" i="1"/>
  <c r="K1280" i="1"/>
  <c r="Y1285" i="1"/>
  <c r="K1285" i="1"/>
  <c r="Y1289" i="1"/>
  <c r="K1289" i="1"/>
  <c r="Y1293" i="1"/>
  <c r="K1293" i="1"/>
  <c r="Y1297" i="1"/>
  <c r="K1297" i="1"/>
  <c r="Y1301" i="1"/>
  <c r="K1301" i="1"/>
  <c r="Y1305" i="1"/>
  <c r="K1305" i="1"/>
  <c r="Y1309" i="1"/>
  <c r="K1309" i="1"/>
  <c r="Y1311" i="1"/>
  <c r="K1311" i="1"/>
  <c r="Y1314" i="1"/>
  <c r="K1314" i="1"/>
  <c r="Y1318" i="1"/>
  <c r="K1318" i="1"/>
  <c r="Y1322" i="1"/>
  <c r="K1322" i="1"/>
  <c r="Y1326" i="1"/>
  <c r="K1326" i="1"/>
  <c r="Y1330" i="1"/>
  <c r="K1330" i="1"/>
  <c r="Y1334" i="1"/>
  <c r="K1334" i="1"/>
  <c r="Y1338" i="1"/>
  <c r="K1338" i="1"/>
  <c r="Y1342" i="1"/>
  <c r="K1342" i="1"/>
  <c r="Y1346" i="1"/>
  <c r="K1346" i="1"/>
  <c r="Y1350" i="1"/>
  <c r="K1350" i="1"/>
  <c r="Y1356" i="1"/>
  <c r="K1356" i="1"/>
  <c r="Y1360" i="1"/>
  <c r="K1360" i="1"/>
  <c r="Y1364" i="1"/>
  <c r="K1364" i="1"/>
  <c r="Y1368" i="1"/>
  <c r="K1368" i="1"/>
  <c r="Y1372" i="1"/>
  <c r="K1372" i="1"/>
  <c r="Y1376" i="1"/>
  <c r="K1376" i="1"/>
  <c r="Y1380" i="1"/>
  <c r="K1380" i="1"/>
  <c r="Y1384" i="1"/>
  <c r="K1384" i="1"/>
  <c r="Y1422" i="1"/>
  <c r="K1422" i="1"/>
  <c r="Y1426" i="1"/>
  <c r="K1426" i="1"/>
  <c r="Y1445" i="1"/>
  <c r="K1445" i="1"/>
  <c r="Y1454" i="1"/>
  <c r="K1454" i="1"/>
  <c r="Y1460" i="1"/>
  <c r="K1460" i="1"/>
  <c r="Y1466" i="1"/>
  <c r="K1466" i="1"/>
  <c r="Y1469" i="1"/>
  <c r="K1469" i="1"/>
  <c r="Y1473" i="1"/>
  <c r="K1473" i="1"/>
  <c r="Y1477" i="1"/>
  <c r="K1477" i="1"/>
  <c r="Y1483" i="1"/>
  <c r="K1483" i="1"/>
  <c r="Y1502" i="1"/>
  <c r="K1502" i="1"/>
  <c r="Y1506" i="1"/>
  <c r="K1506" i="1"/>
  <c r="Y1510" i="1"/>
  <c r="K1510" i="1"/>
  <c r="Y1514" i="1"/>
  <c r="K1514" i="1"/>
  <c r="Y1518" i="1"/>
  <c r="K1518" i="1"/>
  <c r="Y1522" i="1"/>
  <c r="K1522" i="1"/>
  <c r="Y1526" i="1"/>
  <c r="K1526" i="1"/>
  <c r="Y1530" i="1"/>
  <c r="K1530" i="1"/>
  <c r="Y1539" i="1"/>
  <c r="K1539" i="1"/>
  <c r="Y1543" i="1"/>
  <c r="K1543" i="1"/>
  <c r="Y1546" i="1"/>
  <c r="K1546" i="1"/>
  <c r="Y1241" i="1"/>
  <c r="K1242" i="1"/>
  <c r="Y1243" i="1"/>
  <c r="K1244" i="1"/>
  <c r="Y1245" i="1"/>
  <c r="K1246" i="1"/>
  <c r="J1248" i="1"/>
  <c r="J1250" i="1"/>
  <c r="J1252" i="1"/>
  <c r="J1254" i="1"/>
  <c r="J1256" i="1"/>
  <c r="J1258" i="1"/>
  <c r="J1260" i="1"/>
  <c r="J1262" i="1"/>
  <c r="J1264" i="1"/>
  <c r="J1266" i="1"/>
  <c r="J1268" i="1"/>
  <c r="J1270" i="1"/>
  <c r="J1273" i="1"/>
  <c r="J1275" i="1"/>
  <c r="J1277" i="1"/>
  <c r="J1279" i="1"/>
  <c r="J1281" i="1"/>
  <c r="J1282" i="1"/>
  <c r="J1284" i="1"/>
  <c r="J1286" i="1"/>
  <c r="J1288" i="1"/>
  <c r="J1290" i="1"/>
  <c r="J1292" i="1"/>
  <c r="J1294" i="1"/>
  <c r="J1296" i="1"/>
  <c r="J1298" i="1"/>
  <c r="J1300" i="1"/>
  <c r="J1302" i="1"/>
  <c r="J1304" i="1"/>
  <c r="J1306" i="1"/>
  <c r="J1308" i="1"/>
  <c r="J1313" i="1"/>
  <c r="J1315" i="1"/>
  <c r="J1317" i="1"/>
  <c r="J1319" i="1"/>
  <c r="J1321" i="1"/>
  <c r="J1323" i="1"/>
  <c r="J1325" i="1"/>
  <c r="J1327" i="1"/>
  <c r="J1329" i="1"/>
  <c r="J1331" i="1"/>
  <c r="J1333" i="1"/>
  <c r="J1335" i="1"/>
  <c r="J1337" i="1"/>
  <c r="J1339" i="1"/>
  <c r="J1341" i="1"/>
  <c r="J1343" i="1"/>
  <c r="J1345" i="1"/>
  <c r="J1347" i="1"/>
  <c r="J1349" i="1"/>
  <c r="J1351" i="1"/>
  <c r="J1353" i="1"/>
  <c r="J1354" i="1"/>
  <c r="J1355" i="1"/>
  <c r="J1357" i="1"/>
  <c r="J1359" i="1"/>
  <c r="J1361" i="1"/>
  <c r="J1363" i="1"/>
  <c r="J1365" i="1"/>
  <c r="J1367" i="1"/>
  <c r="J1369" i="1"/>
  <c r="J1371" i="1"/>
  <c r="J1373" i="1"/>
  <c r="J1375" i="1"/>
  <c r="J1377" i="1"/>
  <c r="J1379" i="1"/>
  <c r="J1381" i="1"/>
  <c r="J1383" i="1"/>
  <c r="J1385" i="1"/>
  <c r="Y1387" i="1"/>
  <c r="K1388" i="1"/>
  <c r="K1390" i="1"/>
  <c r="Y1391" i="1"/>
  <c r="K1392" i="1"/>
  <c r="K1394" i="1"/>
  <c r="Y1395" i="1"/>
  <c r="K1396" i="1"/>
  <c r="K1398" i="1"/>
  <c r="Y1399" i="1"/>
  <c r="K1400" i="1"/>
  <c r="K1402" i="1"/>
  <c r="Y1403" i="1"/>
  <c r="K1404" i="1"/>
  <c r="K1406" i="1"/>
  <c r="Y1407" i="1"/>
  <c r="K1408" i="1"/>
  <c r="K1410" i="1"/>
  <c r="Y1411" i="1"/>
  <c r="Y1412" i="1"/>
  <c r="Y1414" i="1"/>
  <c r="K1415" i="1"/>
  <c r="Y1416" i="1"/>
  <c r="K1417" i="1"/>
  <c r="Y1418" i="1"/>
  <c r="K1419" i="1"/>
  <c r="Y1420" i="1"/>
  <c r="K1421" i="1"/>
  <c r="J1423" i="1"/>
  <c r="J1425" i="1"/>
  <c r="J1427" i="1"/>
  <c r="K1429" i="1"/>
  <c r="Y1430" i="1"/>
  <c r="Y1431" i="1"/>
  <c r="Y1432" i="1"/>
  <c r="K1434" i="1"/>
  <c r="Y1435" i="1"/>
  <c r="K1436" i="1"/>
  <c r="Y1437" i="1"/>
  <c r="K1438" i="1"/>
  <c r="Y1439" i="1"/>
  <c r="K1440" i="1"/>
  <c r="Y1441" i="1"/>
  <c r="K1442" i="1"/>
  <c r="K1444" i="1"/>
  <c r="K1446" i="1"/>
  <c r="J1448" i="1"/>
  <c r="J1449" i="1"/>
  <c r="J1450" i="1"/>
  <c r="J1451" i="1"/>
  <c r="J1453" i="1"/>
  <c r="J1455" i="1"/>
  <c r="J1456" i="1"/>
  <c r="J1457" i="1"/>
  <c r="J1459" i="1"/>
  <c r="J1461" i="1"/>
  <c r="J1462" i="1"/>
  <c r="J1463" i="1"/>
  <c r="K1465" i="1"/>
  <c r="J1467" i="1"/>
  <c r="J1468" i="1"/>
  <c r="K1470" i="1"/>
  <c r="J1472" i="1"/>
  <c r="K1474" i="1"/>
  <c r="J1476" i="1"/>
  <c r="J1478" i="1"/>
  <c r="K1480" i="1"/>
  <c r="Y1481" i="1"/>
  <c r="K1482" i="1"/>
  <c r="K1484" i="1"/>
  <c r="Y1485" i="1"/>
  <c r="K1486" i="1"/>
  <c r="K1488" i="1"/>
  <c r="Y1489" i="1"/>
  <c r="K1490" i="1"/>
  <c r="Y1491" i="1"/>
  <c r="K1492" i="1"/>
  <c r="K1494" i="1"/>
  <c r="J1496" i="1"/>
  <c r="J1497" i="1"/>
  <c r="J1498" i="1"/>
  <c r="J1499" i="1"/>
  <c r="J1501" i="1"/>
  <c r="J1503" i="1"/>
  <c r="J1505" i="1"/>
  <c r="J1507" i="1"/>
  <c r="J1509" i="1"/>
  <c r="J1511" i="1"/>
  <c r="J1513" i="1"/>
  <c r="J1515" i="1"/>
  <c r="J1517" i="1"/>
  <c r="J1519" i="1"/>
  <c r="J1521" i="1"/>
  <c r="J1523" i="1"/>
  <c r="J1525" i="1"/>
  <c r="J1527" i="1"/>
  <c r="J1529" i="1"/>
  <c r="K1531" i="1"/>
  <c r="Y1532" i="1"/>
  <c r="K1533" i="1"/>
  <c r="J1535" i="1"/>
  <c r="J1536" i="1"/>
  <c r="J1538" i="1"/>
  <c r="J1540" i="1"/>
  <c r="J1542" i="1"/>
  <c r="J1544" i="1"/>
  <c r="J1545" i="1"/>
  <c r="K1547" i="1"/>
  <c r="Y1548" i="1"/>
  <c r="Y1550" i="1"/>
  <c r="K1550" i="1"/>
  <c r="K1553" i="1"/>
  <c r="Y1553" i="1"/>
  <c r="K1554" i="1"/>
  <c r="K1555" i="1"/>
  <c r="Y1556" i="1"/>
  <c r="K1556" i="1"/>
  <c r="K1559" i="1"/>
  <c r="Y1560" i="1"/>
  <c r="K1560" i="1"/>
  <c r="K1563" i="1"/>
  <c r="Y1564" i="1"/>
  <c r="K1564" i="1"/>
  <c r="K1567" i="1"/>
  <c r="Y1568" i="1"/>
  <c r="K1568" i="1"/>
  <c r="Y1574" i="1"/>
  <c r="K1574" i="1"/>
  <c r="K1551" i="1"/>
  <c r="Y1552" i="1"/>
  <c r="K1552" i="1"/>
  <c r="K1557" i="1"/>
  <c r="Y1557" i="1"/>
  <c r="Y1558" i="1"/>
  <c r="K1558" i="1"/>
  <c r="K1561" i="1"/>
  <c r="Y1561" i="1"/>
  <c r="Y1562" i="1"/>
  <c r="K1562" i="1"/>
  <c r="K1565" i="1"/>
  <c r="Y1565" i="1"/>
  <c r="Y1566" i="1"/>
  <c r="K1566" i="1"/>
  <c r="Y1570" i="1"/>
  <c r="K1570" i="1"/>
  <c r="P1572" i="1"/>
  <c r="Q1572" i="1" s="1"/>
  <c r="S1572" i="1" s="1"/>
  <c r="J1572" i="1" s="1"/>
  <c r="K1575" i="1"/>
  <c r="Y1575" i="1"/>
  <c r="K1576" i="1"/>
  <c r="Y1576" i="1"/>
  <c r="K1579" i="1"/>
  <c r="Y1579" i="1"/>
  <c r="Y1580" i="1"/>
  <c r="K1580" i="1"/>
  <c r="K1583" i="1"/>
  <c r="Y1583" i="1"/>
  <c r="Y1584" i="1"/>
  <c r="K1584" i="1"/>
  <c r="K1586" i="1"/>
  <c r="Y1586" i="1"/>
  <c r="K1589" i="1"/>
  <c r="Y1589" i="1"/>
  <c r="Y1590" i="1"/>
  <c r="K1590" i="1"/>
  <c r="K1593" i="1"/>
  <c r="Y1593" i="1"/>
  <c r="K1596" i="1"/>
  <c r="Y1596" i="1"/>
  <c r="Y1597" i="1"/>
  <c r="K1597" i="1"/>
  <c r="K1601" i="1"/>
  <c r="Y1601" i="1"/>
  <c r="Y1602" i="1"/>
  <c r="K1602" i="1"/>
  <c r="K1605" i="1"/>
  <c r="Y1605" i="1"/>
  <c r="Y1606" i="1"/>
  <c r="K1606" i="1"/>
  <c r="K1609" i="1"/>
  <c r="Y1609" i="1"/>
  <c r="Y1610" i="1"/>
  <c r="K1610" i="1"/>
  <c r="K1613" i="1"/>
  <c r="Y1613" i="1"/>
  <c r="Y1614" i="1"/>
  <c r="K1614" i="1"/>
  <c r="Y1615" i="1"/>
  <c r="K1615" i="1"/>
  <c r="K1620" i="1"/>
  <c r="Y1620" i="1"/>
  <c r="K1625" i="1"/>
  <c r="Y1625" i="1"/>
  <c r="Y1626" i="1"/>
  <c r="K1626" i="1"/>
  <c r="K1635" i="1"/>
  <c r="Y1635" i="1"/>
  <c r="Y1636" i="1"/>
  <c r="K1636" i="1"/>
  <c r="K1639" i="1"/>
  <c r="Y1639" i="1"/>
  <c r="Y1640" i="1"/>
  <c r="K1640" i="1"/>
  <c r="K1646" i="1"/>
  <c r="Y1646" i="1"/>
  <c r="K1577" i="1"/>
  <c r="Y1577" i="1"/>
  <c r="Y1578" i="1"/>
  <c r="K1578" i="1"/>
  <c r="K1581" i="1"/>
  <c r="Y1581" i="1"/>
  <c r="Y1582" i="1"/>
  <c r="K1582" i="1"/>
  <c r="K1585" i="1"/>
  <c r="Y1585" i="1"/>
  <c r="K1587" i="1"/>
  <c r="Y1587" i="1"/>
  <c r="Y1588" i="1"/>
  <c r="K1588" i="1"/>
  <c r="K1591" i="1"/>
  <c r="Y1591" i="1"/>
  <c r="Y1592" i="1"/>
  <c r="K1592" i="1"/>
  <c r="K1594" i="1"/>
  <c r="Y1594" i="1"/>
  <c r="Y1595" i="1"/>
  <c r="K1595" i="1"/>
  <c r="K1598" i="1"/>
  <c r="Y1598" i="1"/>
  <c r="Y1599" i="1"/>
  <c r="K1599" i="1"/>
  <c r="Y1600" i="1"/>
  <c r="K1600" i="1"/>
  <c r="K1603" i="1"/>
  <c r="Y1603" i="1"/>
  <c r="Y1604" i="1"/>
  <c r="K1604" i="1"/>
  <c r="K1607" i="1"/>
  <c r="Y1607" i="1"/>
  <c r="Y1608" i="1"/>
  <c r="K1608" i="1"/>
  <c r="K1611" i="1"/>
  <c r="Y1611" i="1"/>
  <c r="Y1612" i="1"/>
  <c r="K1612" i="1"/>
  <c r="K1616" i="1"/>
  <c r="Y1616" i="1"/>
  <c r="Y1617" i="1"/>
  <c r="K1617" i="1"/>
  <c r="Y1618" i="1"/>
  <c r="K1618" i="1"/>
  <c r="Y1619" i="1"/>
  <c r="K1619" i="1"/>
  <c r="K1621" i="1"/>
  <c r="Y1621" i="1"/>
  <c r="Y1622" i="1"/>
  <c r="K1622" i="1"/>
  <c r="Y1623" i="1"/>
  <c r="K1623" i="1"/>
  <c r="Y1624" i="1"/>
  <c r="K1624" i="1"/>
  <c r="K1627" i="1"/>
  <c r="Y1627" i="1"/>
  <c r="Y1629" i="1"/>
  <c r="K1629" i="1"/>
  <c r="Y1630" i="1"/>
  <c r="K1630" i="1"/>
  <c r="Y1631" i="1"/>
  <c r="K1631" i="1"/>
  <c r="Y1632" i="1"/>
  <c r="K1632" i="1"/>
  <c r="Y1633" i="1"/>
  <c r="K1633" i="1"/>
  <c r="Y1634" i="1"/>
  <c r="K1634" i="1"/>
  <c r="K1637" i="1"/>
  <c r="Y1637" i="1"/>
  <c r="Y1638" i="1"/>
  <c r="K1638" i="1"/>
  <c r="K1641" i="1"/>
  <c r="Y1641" i="1"/>
  <c r="Y1642" i="1"/>
  <c r="K1642" i="1"/>
  <c r="Y1643" i="1"/>
  <c r="K1643" i="1"/>
  <c r="Y1644" i="1"/>
  <c r="K1644" i="1"/>
  <c r="Y1645" i="1"/>
  <c r="K1645" i="1"/>
  <c r="K1647" i="1"/>
  <c r="Y1647" i="1"/>
  <c r="K1650" i="1"/>
  <c r="Y1650" i="1"/>
  <c r="Y1651" i="1"/>
  <c r="K1651" i="1"/>
  <c r="K1654" i="1"/>
  <c r="Y1654" i="1"/>
  <c r="Y1655" i="1"/>
  <c r="K1655" i="1"/>
  <c r="K1658" i="1"/>
  <c r="Y1658" i="1"/>
  <c r="K1660" i="1"/>
  <c r="Y1660" i="1"/>
  <c r="K1663" i="1"/>
  <c r="Y1663" i="1"/>
  <c r="Y1664" i="1"/>
  <c r="K1664" i="1"/>
  <c r="K1669" i="1"/>
  <c r="Y1669" i="1"/>
  <c r="K1670" i="1"/>
  <c r="Y1670" i="1"/>
  <c r="Y1671" i="1"/>
  <c r="K1671" i="1"/>
  <c r="K1674" i="1"/>
  <c r="Y1674" i="1"/>
  <c r="Y1675" i="1"/>
  <c r="K1675" i="1"/>
  <c r="K1678" i="1"/>
  <c r="Y1678" i="1"/>
  <c r="Y1679" i="1"/>
  <c r="K1679" i="1"/>
  <c r="K1682" i="1"/>
  <c r="Y1682" i="1"/>
  <c r="K1684" i="1"/>
  <c r="Y1684" i="1"/>
  <c r="K1687" i="1"/>
  <c r="Y1687" i="1"/>
  <c r="K1693" i="1"/>
  <c r="Y1693" i="1"/>
  <c r="Y1694" i="1"/>
  <c r="K1694" i="1"/>
  <c r="Y1695" i="1"/>
  <c r="K1695" i="1"/>
  <c r="K1699" i="1"/>
  <c r="Y1699" i="1"/>
  <c r="Y1700" i="1"/>
  <c r="K1700" i="1"/>
  <c r="K1703" i="1"/>
  <c r="Y1703" i="1"/>
  <c r="Y1704" i="1"/>
  <c r="K1704" i="1"/>
  <c r="K1708" i="1"/>
  <c r="Y1708" i="1"/>
  <c r="Y1709" i="1"/>
  <c r="K1709" i="1"/>
  <c r="Y1710" i="1"/>
  <c r="K1710" i="1"/>
  <c r="K1713" i="1"/>
  <c r="Y1713" i="1"/>
  <c r="Y1714" i="1"/>
  <c r="K1714" i="1"/>
  <c r="K1717" i="1"/>
  <c r="Y1717" i="1"/>
  <c r="Y1718" i="1"/>
  <c r="K1718" i="1"/>
  <c r="K1720" i="1"/>
  <c r="Y1720" i="1"/>
  <c r="K1723" i="1"/>
  <c r="Y1723" i="1"/>
  <c r="K1725" i="1"/>
  <c r="Y1725" i="1"/>
  <c r="Y1726" i="1"/>
  <c r="K1726" i="1"/>
  <c r="K1728" i="1"/>
  <c r="Y1728" i="1"/>
  <c r="Y1729" i="1"/>
  <c r="K1729" i="1"/>
  <c r="Y1733" i="1"/>
  <c r="K1733" i="1"/>
  <c r="K1735" i="1"/>
  <c r="Y1735" i="1"/>
  <c r="K1736" i="1"/>
  <c r="Y1736" i="1"/>
  <c r="Y1737" i="1"/>
  <c r="K1737" i="1"/>
  <c r="K1738" i="1"/>
  <c r="Y1738" i="1"/>
  <c r="K1740" i="1"/>
  <c r="Y1740" i="1"/>
  <c r="Y1741" i="1"/>
  <c r="K1741" i="1"/>
  <c r="K1648" i="1"/>
  <c r="Y1648" i="1"/>
  <c r="Y1649" i="1"/>
  <c r="K1649" i="1"/>
  <c r="K1652" i="1"/>
  <c r="Y1652" i="1"/>
  <c r="Y1653" i="1"/>
  <c r="K1653" i="1"/>
  <c r="K1656" i="1"/>
  <c r="Y1656" i="1"/>
  <c r="Y1657" i="1"/>
  <c r="K1657" i="1"/>
  <c r="K1659" i="1"/>
  <c r="Y1659" i="1"/>
  <c r="K1661" i="1"/>
  <c r="Y1661" i="1"/>
  <c r="Y1662" i="1"/>
  <c r="K1662" i="1"/>
  <c r="K1665" i="1"/>
  <c r="Y1665" i="1"/>
  <c r="Y1666" i="1"/>
  <c r="K1666" i="1"/>
  <c r="Y1667" i="1"/>
  <c r="K1667" i="1"/>
  <c r="Y1668" i="1"/>
  <c r="K1668" i="1"/>
  <c r="K1672" i="1"/>
  <c r="Y1672" i="1"/>
  <c r="Y1673" i="1"/>
  <c r="K1673" i="1"/>
  <c r="K1676" i="1"/>
  <c r="Y1676" i="1"/>
  <c r="Y1677" i="1"/>
  <c r="K1677" i="1"/>
  <c r="K1680" i="1"/>
  <c r="Y1680" i="1"/>
  <c r="Y1681" i="1"/>
  <c r="K1681" i="1"/>
  <c r="K1683" i="1"/>
  <c r="Y1683" i="1"/>
  <c r="K1685" i="1"/>
  <c r="Y1685" i="1"/>
  <c r="Y1686" i="1"/>
  <c r="K1686" i="1"/>
  <c r="K1688" i="1"/>
  <c r="Y1688" i="1"/>
  <c r="Y1689" i="1"/>
  <c r="K1689" i="1"/>
  <c r="Y1690" i="1"/>
  <c r="K1690" i="1"/>
  <c r="Y1691" i="1"/>
  <c r="K1691" i="1"/>
  <c r="Y1692" i="1"/>
  <c r="K1692" i="1"/>
  <c r="K1696" i="1"/>
  <c r="Y1696" i="1"/>
  <c r="Y1697" i="1"/>
  <c r="K1697" i="1"/>
  <c r="Y1698" i="1"/>
  <c r="K1698" i="1"/>
  <c r="K1701" i="1"/>
  <c r="Y1701" i="1"/>
  <c r="Y1702" i="1"/>
  <c r="K1702" i="1"/>
  <c r="K1705" i="1"/>
  <c r="Y1705" i="1"/>
  <c r="Y1706" i="1"/>
  <c r="K1706" i="1"/>
  <c r="Y1707" i="1"/>
  <c r="K1707" i="1"/>
  <c r="K1711" i="1"/>
  <c r="Y1711" i="1"/>
  <c r="Y1712" i="1"/>
  <c r="K1712" i="1"/>
  <c r="K1715" i="1"/>
  <c r="Y1715" i="1"/>
  <c r="Y1716" i="1"/>
  <c r="K1716" i="1"/>
  <c r="K1719" i="1"/>
  <c r="Y1719" i="1"/>
  <c r="K1721" i="1"/>
  <c r="Y1721" i="1"/>
  <c r="Y1722" i="1"/>
  <c r="K1722" i="1"/>
  <c r="K1724" i="1"/>
  <c r="Y1724" i="1"/>
  <c r="Y1727" i="1"/>
  <c r="K1727" i="1"/>
  <c r="K1730" i="1"/>
  <c r="Y1730" i="1"/>
  <c r="Y1731" i="1"/>
  <c r="K1731" i="1"/>
  <c r="Y1732" i="1"/>
  <c r="K1732" i="1"/>
  <c r="Y1734" i="1"/>
  <c r="K1734" i="1"/>
  <c r="Y1739" i="1"/>
  <c r="K1739" i="1"/>
  <c r="Y1742" i="1"/>
  <c r="K1742" i="1"/>
  <c r="K1743" i="1"/>
  <c r="Y1743" i="1"/>
  <c r="Y1744" i="1"/>
  <c r="K1744" i="1"/>
  <c r="K1747" i="1"/>
  <c r="Y1747" i="1"/>
  <c r="Y1748" i="1"/>
  <c r="K1748" i="1"/>
  <c r="K1751" i="1"/>
  <c r="Y1751" i="1"/>
  <c r="Y1752" i="1"/>
  <c r="K1752" i="1"/>
  <c r="K1755" i="1"/>
  <c r="Y1755" i="1"/>
  <c r="K1756" i="1"/>
  <c r="Y1756" i="1"/>
  <c r="Y1757" i="1"/>
  <c r="K1757" i="1"/>
  <c r="K1760" i="1"/>
  <c r="Y1760" i="1"/>
  <c r="Y1761" i="1"/>
  <c r="K1761" i="1"/>
  <c r="K1764" i="1"/>
  <c r="Y1764" i="1"/>
  <c r="Y1765" i="1"/>
  <c r="K1765" i="1"/>
  <c r="K1768" i="1"/>
  <c r="Y1768" i="1"/>
  <c r="Y1769" i="1"/>
  <c r="K1769" i="1"/>
  <c r="K1772" i="1"/>
  <c r="Y1772" i="1"/>
  <c r="Y1773" i="1"/>
  <c r="K1773" i="1"/>
  <c r="Y1775" i="1"/>
  <c r="K1775" i="1"/>
  <c r="K1778" i="1"/>
  <c r="Y1778" i="1"/>
  <c r="Y1779" i="1"/>
  <c r="K1779" i="1"/>
  <c r="K1782" i="1"/>
  <c r="Y1782" i="1"/>
  <c r="Y1783" i="1"/>
  <c r="K1783" i="1"/>
  <c r="Y1784" i="1"/>
  <c r="K1784" i="1"/>
  <c r="Y1785" i="1"/>
  <c r="K1785" i="1"/>
  <c r="Y1790" i="1"/>
  <c r="K1790" i="1"/>
  <c r="K1794" i="1"/>
  <c r="Y1794" i="1"/>
  <c r="K1799" i="1"/>
  <c r="Y1799" i="1"/>
  <c r="Y1800" i="1"/>
  <c r="K1800" i="1"/>
  <c r="K1803" i="1"/>
  <c r="Y1803" i="1"/>
  <c r="Y1804" i="1"/>
  <c r="K1804" i="1"/>
  <c r="K1808" i="1"/>
  <c r="Y1808" i="1"/>
  <c r="Y1809" i="1"/>
  <c r="K1809" i="1"/>
  <c r="K1812" i="1"/>
  <c r="Y1812" i="1"/>
  <c r="Y1813" i="1"/>
  <c r="K1813" i="1"/>
  <c r="K1816" i="1"/>
  <c r="Y1816" i="1"/>
  <c r="K1819" i="1"/>
  <c r="Y1819" i="1"/>
  <c r="K1821" i="1"/>
  <c r="Y1821" i="1"/>
  <c r="Y1822" i="1"/>
  <c r="K1822" i="1"/>
  <c r="K1825" i="1"/>
  <c r="Y1825" i="1"/>
  <c r="Y1826" i="1"/>
  <c r="K1826" i="1"/>
  <c r="K1829" i="1"/>
  <c r="Y1829" i="1"/>
  <c r="Y1830" i="1"/>
  <c r="K1830" i="1"/>
  <c r="Y1836" i="1"/>
  <c r="K1836" i="1"/>
  <c r="Y1837" i="1"/>
  <c r="K1837" i="1"/>
  <c r="Y1838" i="1"/>
  <c r="K1838" i="1"/>
  <c r="Y1839" i="1"/>
  <c r="K1839" i="1"/>
  <c r="Y1840" i="1"/>
  <c r="K1840" i="1"/>
  <c r="Y1841" i="1"/>
  <c r="K1841" i="1"/>
  <c r="Y1842" i="1"/>
  <c r="K1842" i="1"/>
  <c r="Y1843" i="1"/>
  <c r="K1843" i="1"/>
  <c r="Y1844" i="1"/>
  <c r="K1844" i="1"/>
  <c r="Y1845" i="1"/>
  <c r="K1845" i="1"/>
  <c r="Y1846" i="1"/>
  <c r="K1846" i="1"/>
  <c r="Y1847" i="1"/>
  <c r="K1847" i="1"/>
  <c r="Y1848" i="1"/>
  <c r="K1848" i="1"/>
  <c r="Y1849" i="1"/>
  <c r="K1849" i="1"/>
  <c r="Y1850" i="1"/>
  <c r="K1850" i="1"/>
  <c r="K1851" i="1"/>
  <c r="Y1851" i="1"/>
  <c r="K1853" i="1"/>
  <c r="Y1853" i="1"/>
  <c r="K1855" i="1"/>
  <c r="Y1855" i="1"/>
  <c r="K1857" i="1"/>
  <c r="Y1857" i="1"/>
  <c r="K1859" i="1"/>
  <c r="Y1859" i="1"/>
  <c r="K1861" i="1"/>
  <c r="Y1861" i="1"/>
  <c r="K1863" i="1"/>
  <c r="Y1863" i="1"/>
  <c r="K1865" i="1"/>
  <c r="Y1865" i="1"/>
  <c r="K1867" i="1"/>
  <c r="Y1867" i="1"/>
  <c r="K1869" i="1"/>
  <c r="Y1869" i="1"/>
  <c r="K1871" i="1"/>
  <c r="Y1871" i="1"/>
  <c r="K1873" i="1"/>
  <c r="Y1873" i="1"/>
  <c r="K1875" i="1"/>
  <c r="Y1875" i="1"/>
  <c r="K1877" i="1"/>
  <c r="Y1877" i="1"/>
  <c r="K1879" i="1"/>
  <c r="Y1879" i="1"/>
  <c r="K1881" i="1"/>
  <c r="Y1881" i="1"/>
  <c r="K1883" i="1"/>
  <c r="Y1883" i="1"/>
  <c r="K1885" i="1"/>
  <c r="Y1885" i="1"/>
  <c r="K1887" i="1"/>
  <c r="Y1887" i="1"/>
  <c r="Y1889" i="1"/>
  <c r="K1889" i="1"/>
  <c r="Y1890" i="1"/>
  <c r="K1890" i="1"/>
  <c r="Y1891" i="1"/>
  <c r="K1891" i="1"/>
  <c r="Y1892" i="1"/>
  <c r="K1892" i="1"/>
  <c r="Y1893" i="1"/>
  <c r="K1893" i="1"/>
  <c r="Y1894" i="1"/>
  <c r="K1894" i="1"/>
  <c r="Y1895" i="1"/>
  <c r="K1895" i="1"/>
  <c r="Y1896" i="1"/>
  <c r="K1896" i="1"/>
  <c r="Y1897" i="1"/>
  <c r="K1897" i="1"/>
  <c r="Y1898" i="1"/>
  <c r="K1898" i="1"/>
  <c r="Y1899" i="1"/>
  <c r="K1899" i="1"/>
  <c r="Y1900" i="1"/>
  <c r="K1900" i="1"/>
  <c r="Y1901" i="1"/>
  <c r="K1901" i="1"/>
  <c r="Y1902" i="1"/>
  <c r="K1902" i="1"/>
  <c r="Y1903" i="1"/>
  <c r="K1903" i="1"/>
  <c r="Y1904" i="1"/>
  <c r="K1904" i="1"/>
  <c r="Y1905" i="1"/>
  <c r="K1905" i="1"/>
  <c r="Y1906" i="1"/>
  <c r="K1906" i="1"/>
  <c r="Y1907" i="1"/>
  <c r="K1907" i="1"/>
  <c r="Y1908" i="1"/>
  <c r="K1908" i="1"/>
  <c r="Y1909" i="1"/>
  <c r="K1909" i="1"/>
  <c r="Y1910" i="1"/>
  <c r="K1910" i="1"/>
  <c r="Y1911" i="1"/>
  <c r="K1911" i="1"/>
  <c r="Y1912" i="1"/>
  <c r="K1912" i="1"/>
  <c r="Y1913" i="1"/>
  <c r="K1913" i="1"/>
  <c r="Y1914" i="1"/>
  <c r="K1914" i="1"/>
  <c r="Y1915" i="1"/>
  <c r="K1915" i="1"/>
  <c r="Y1916" i="1"/>
  <c r="K1916" i="1"/>
  <c r="Y1917" i="1"/>
  <c r="K1917" i="1"/>
  <c r="Y1918" i="1"/>
  <c r="K1918" i="1"/>
  <c r="Y1919" i="1"/>
  <c r="K1919" i="1"/>
  <c r="Y1920" i="1"/>
  <c r="K1920" i="1"/>
  <c r="Y1921" i="1"/>
  <c r="K1921" i="1"/>
  <c r="Y1922" i="1"/>
  <c r="K1922" i="1"/>
  <c r="K1745" i="1"/>
  <c r="Y1745" i="1"/>
  <c r="P1746" i="1"/>
  <c r="Q1746" i="1" s="1"/>
  <c r="S1746" i="1" s="1"/>
  <c r="J1746" i="1" s="1"/>
  <c r="K1749" i="1"/>
  <c r="Y1749" i="1"/>
  <c r="Y1750" i="1"/>
  <c r="K1750" i="1"/>
  <c r="K1753" i="1"/>
  <c r="Y1753" i="1"/>
  <c r="Y1754" i="1"/>
  <c r="K1754" i="1"/>
  <c r="K1758" i="1"/>
  <c r="Y1758" i="1"/>
  <c r="Y1759" i="1"/>
  <c r="K1759" i="1"/>
  <c r="K1762" i="1"/>
  <c r="Y1762" i="1"/>
  <c r="Y1763" i="1"/>
  <c r="K1763" i="1"/>
  <c r="K1766" i="1"/>
  <c r="Y1766" i="1"/>
  <c r="Y1767" i="1"/>
  <c r="K1767" i="1"/>
  <c r="K1770" i="1"/>
  <c r="Y1770" i="1"/>
  <c r="Y1771" i="1"/>
  <c r="K1771" i="1"/>
  <c r="Y1774" i="1"/>
  <c r="K1774" i="1"/>
  <c r="K1776" i="1"/>
  <c r="Y1776" i="1"/>
  <c r="Y1777" i="1"/>
  <c r="K1777" i="1"/>
  <c r="K1780" i="1"/>
  <c r="Y1780" i="1"/>
  <c r="Y1781" i="1"/>
  <c r="K1781" i="1"/>
  <c r="K1786" i="1"/>
  <c r="Y1786" i="1"/>
  <c r="Y1787" i="1"/>
  <c r="K1787" i="1"/>
  <c r="Y1788" i="1"/>
  <c r="K1788" i="1"/>
  <c r="K1789" i="1"/>
  <c r="Y1789" i="1"/>
  <c r="K1791" i="1"/>
  <c r="Y1791" i="1"/>
  <c r="K1792" i="1"/>
  <c r="Y1792" i="1"/>
  <c r="Y1793" i="1"/>
  <c r="K1793" i="1"/>
  <c r="K1795" i="1"/>
  <c r="Y1795" i="1"/>
  <c r="Y1796" i="1"/>
  <c r="K1796" i="1"/>
  <c r="Y1797" i="1"/>
  <c r="K1797" i="1"/>
  <c r="Y1798" i="1"/>
  <c r="K1798" i="1"/>
  <c r="K1801" i="1"/>
  <c r="Y1801" i="1"/>
  <c r="Y1802" i="1"/>
  <c r="K1802" i="1"/>
  <c r="K1805" i="1"/>
  <c r="Y1805" i="1"/>
  <c r="Y1806" i="1"/>
  <c r="K1806" i="1"/>
  <c r="Y1807" i="1"/>
  <c r="K1807" i="1"/>
  <c r="K1810" i="1"/>
  <c r="Y1810" i="1"/>
  <c r="Y1811" i="1"/>
  <c r="K1811" i="1"/>
  <c r="K1814" i="1"/>
  <c r="Y1814" i="1"/>
  <c r="Y1815" i="1"/>
  <c r="K1815" i="1"/>
  <c r="K1817" i="1"/>
  <c r="Y1817" i="1"/>
  <c r="Y1818" i="1"/>
  <c r="K1818" i="1"/>
  <c r="K1820" i="1"/>
  <c r="Y1820" i="1"/>
  <c r="K1823" i="1"/>
  <c r="Y1823" i="1"/>
  <c r="Y1824" i="1"/>
  <c r="K1824" i="1"/>
  <c r="K1827" i="1"/>
  <c r="Y1827" i="1"/>
  <c r="Y1828" i="1"/>
  <c r="K1828" i="1"/>
  <c r="Y1835" i="1"/>
  <c r="K1835" i="1"/>
  <c r="K1852" i="1"/>
  <c r="Y1852" i="1"/>
  <c r="K1854" i="1"/>
  <c r="Y1854" i="1"/>
  <c r="K1856" i="1"/>
  <c r="Y1856" i="1"/>
  <c r="K1858" i="1"/>
  <c r="Y1858" i="1"/>
  <c r="K1860" i="1"/>
  <c r="Y1860" i="1"/>
  <c r="K1862" i="1"/>
  <c r="Y1862" i="1"/>
  <c r="K1864" i="1"/>
  <c r="Y1864" i="1"/>
  <c r="K1866" i="1"/>
  <c r="Y1866" i="1"/>
  <c r="K1868" i="1"/>
  <c r="Y1868" i="1"/>
  <c r="K1870" i="1"/>
  <c r="Y1870" i="1"/>
  <c r="K1872" i="1"/>
  <c r="Y1872" i="1"/>
  <c r="K1874" i="1"/>
  <c r="Y1874" i="1"/>
  <c r="K1876" i="1"/>
  <c r="Y1876" i="1"/>
  <c r="K1878" i="1"/>
  <c r="Y1878" i="1"/>
  <c r="K1880" i="1"/>
  <c r="Y1880" i="1"/>
  <c r="K1882" i="1"/>
  <c r="Y1882" i="1"/>
  <c r="K1884" i="1"/>
  <c r="Y1884" i="1"/>
  <c r="K1886" i="1"/>
  <c r="Y1886" i="1"/>
  <c r="K1888" i="1"/>
  <c r="Y1888" i="1"/>
  <c r="I1746" i="1"/>
  <c r="Y1923" i="1"/>
  <c r="K1923" i="1"/>
  <c r="Y1926" i="1"/>
  <c r="K1926" i="1"/>
  <c r="K1928" i="1"/>
  <c r="Y1928" i="1"/>
  <c r="K1930" i="1"/>
  <c r="Y1930" i="1"/>
  <c r="K1932" i="1"/>
  <c r="Y1932" i="1"/>
  <c r="K1934" i="1"/>
  <c r="Y1934" i="1"/>
  <c r="K1936" i="1"/>
  <c r="Y1936" i="1"/>
  <c r="K1938" i="1"/>
  <c r="Y1938" i="1"/>
  <c r="K1940" i="1"/>
  <c r="Y1940" i="1"/>
  <c r="K1942" i="1"/>
  <c r="Y1942" i="1"/>
  <c r="K1943" i="1"/>
  <c r="Y1943" i="1"/>
  <c r="K1944" i="1"/>
  <c r="Y1944" i="1"/>
  <c r="K1945" i="1"/>
  <c r="Y1945" i="1"/>
  <c r="K1946" i="1"/>
  <c r="Y1946" i="1"/>
  <c r="K1947" i="1"/>
  <c r="Y1947" i="1"/>
  <c r="K1948" i="1"/>
  <c r="Y1948" i="1"/>
  <c r="K1949" i="1"/>
  <c r="Y1949" i="1"/>
  <c r="K1950" i="1"/>
  <c r="Y1950" i="1"/>
  <c r="K1951" i="1"/>
  <c r="Y1951" i="1"/>
  <c r="K1952" i="1"/>
  <c r="Y1952" i="1"/>
  <c r="K1953" i="1"/>
  <c r="Y1953" i="1"/>
  <c r="K1954" i="1"/>
  <c r="Y1954" i="1"/>
  <c r="K1955" i="1"/>
  <c r="Y1955" i="1"/>
  <c r="Y1956" i="1"/>
  <c r="K1956" i="1"/>
  <c r="Y1958" i="1"/>
  <c r="K1958" i="1"/>
  <c r="K1959" i="1"/>
  <c r="Y1959" i="1"/>
  <c r="Y1962" i="1"/>
  <c r="K1962" i="1"/>
  <c r="Y1964" i="1"/>
  <c r="K1964" i="1"/>
  <c r="Y1966" i="1"/>
  <c r="K1966" i="1"/>
  <c r="Y1968" i="1"/>
  <c r="K1968" i="1"/>
  <c r="Y1970" i="1"/>
  <c r="K1970" i="1"/>
  <c r="K1971" i="1"/>
  <c r="Y1971" i="1"/>
  <c r="Y1974" i="1"/>
  <c r="K1974" i="1"/>
  <c r="K1975" i="1"/>
  <c r="Y1975" i="1"/>
  <c r="Y1977" i="1"/>
  <c r="K1977" i="1"/>
  <c r="K1978" i="1"/>
  <c r="Y1978" i="1"/>
  <c r="K1979" i="1"/>
  <c r="Y1979" i="1"/>
  <c r="K1980" i="1"/>
  <c r="Y1980" i="1"/>
  <c r="Y1982" i="1"/>
  <c r="K1982" i="1"/>
  <c r="Y1984" i="1"/>
  <c r="K1984" i="1"/>
  <c r="Y1986" i="1"/>
  <c r="K1986" i="1"/>
  <c r="Y1988" i="1"/>
  <c r="K1988" i="1"/>
  <c r="Y1990" i="1"/>
  <c r="K1990" i="1"/>
  <c r="K1991" i="1"/>
  <c r="Y1991" i="1"/>
  <c r="Y1994" i="1"/>
  <c r="K1994" i="1"/>
  <c r="K1997" i="1"/>
  <c r="Y1997" i="1"/>
  <c r="Y2000" i="1"/>
  <c r="K2000" i="1"/>
  <c r="K2008" i="1"/>
  <c r="Y2008" i="1"/>
  <c r="K2010" i="1"/>
  <c r="Y2010" i="1"/>
  <c r="Y2013" i="1"/>
  <c r="K2013" i="1"/>
  <c r="Y2014" i="1"/>
  <c r="K2014" i="1"/>
  <c r="K2015" i="1"/>
  <c r="Y2015" i="1"/>
  <c r="Y2018" i="1"/>
  <c r="K2018" i="1"/>
  <c r="Y1924" i="1"/>
  <c r="K1924" i="1"/>
  <c r="K1925" i="1"/>
  <c r="Y1925" i="1"/>
  <c r="K1927" i="1"/>
  <c r="Y1927" i="1"/>
  <c r="K1929" i="1"/>
  <c r="Y1929" i="1"/>
  <c r="K1931" i="1"/>
  <c r="Y1931" i="1"/>
  <c r="K1933" i="1"/>
  <c r="Y1933" i="1"/>
  <c r="K1935" i="1"/>
  <c r="Y1935" i="1"/>
  <c r="K1937" i="1"/>
  <c r="Y1937" i="1"/>
  <c r="K1939" i="1"/>
  <c r="Y1939" i="1"/>
  <c r="K1941" i="1"/>
  <c r="Y1941" i="1"/>
  <c r="K1957" i="1"/>
  <c r="Y1957" i="1"/>
  <c r="Y1960" i="1"/>
  <c r="K1960" i="1"/>
  <c r="K1961" i="1"/>
  <c r="Y1961" i="1"/>
  <c r="Y1963" i="1"/>
  <c r="K1963" i="1"/>
  <c r="Y1965" i="1"/>
  <c r="K1965" i="1"/>
  <c r="Y1967" i="1"/>
  <c r="K1967" i="1"/>
  <c r="Y1969" i="1"/>
  <c r="K1969" i="1"/>
  <c r="Y1972" i="1"/>
  <c r="K1972" i="1"/>
  <c r="K1973" i="1"/>
  <c r="Y1973" i="1"/>
  <c r="Y1976" i="1"/>
  <c r="K1976" i="1"/>
  <c r="Y1981" i="1"/>
  <c r="K1981" i="1"/>
  <c r="Y1983" i="1"/>
  <c r="K1983" i="1"/>
  <c r="Y1985" i="1"/>
  <c r="K1985" i="1"/>
  <c r="Y1987" i="1"/>
  <c r="K1987" i="1"/>
  <c r="Y1989" i="1"/>
  <c r="K1989" i="1"/>
  <c r="Y1992" i="1"/>
  <c r="K1992" i="1"/>
  <c r="K1993" i="1"/>
  <c r="Y1993" i="1"/>
  <c r="K1995" i="1"/>
  <c r="Y1995" i="1"/>
  <c r="Y1996" i="1"/>
  <c r="K1996" i="1"/>
  <c r="Y1998" i="1"/>
  <c r="K1998" i="1"/>
  <c r="K1999" i="1"/>
  <c r="Y1999" i="1"/>
  <c r="Y2009" i="1"/>
  <c r="K2009" i="1"/>
  <c r="Y2011" i="1"/>
  <c r="K2011" i="1"/>
  <c r="K2012" i="1"/>
  <c r="Y2012" i="1"/>
  <c r="Y2016" i="1"/>
  <c r="K2016" i="1"/>
  <c r="K2017" i="1"/>
  <c r="Y2017" i="1"/>
  <c r="Y2019" i="1"/>
  <c r="K2019" i="1"/>
  <c r="K2022" i="1"/>
  <c r="Y2022" i="1"/>
  <c r="Y2023" i="1"/>
  <c r="K2023" i="1"/>
  <c r="K2026" i="1"/>
  <c r="Y2026" i="1"/>
  <c r="Y2027" i="1"/>
  <c r="K2027" i="1"/>
  <c r="K2030" i="1"/>
  <c r="Y2030" i="1"/>
  <c r="Y2031" i="1"/>
  <c r="K2031" i="1"/>
  <c r="Y2034" i="1"/>
  <c r="K2034" i="1"/>
  <c r="K2037" i="1"/>
  <c r="Y2037" i="1"/>
  <c r="Y2038" i="1"/>
  <c r="K2038" i="1"/>
  <c r="K2042" i="1"/>
  <c r="Y2042" i="1"/>
  <c r="K2043" i="1"/>
  <c r="Y2043" i="1"/>
  <c r="Y2044" i="1"/>
  <c r="K2044" i="1"/>
  <c r="K2046" i="1"/>
  <c r="Y2046" i="1"/>
  <c r="K2048" i="1"/>
  <c r="Y2048" i="1"/>
  <c r="Y2050" i="1"/>
  <c r="K2050" i="1"/>
  <c r="K2053" i="1"/>
  <c r="Y2053" i="1"/>
  <c r="Y2054" i="1"/>
  <c r="K2054" i="1"/>
  <c r="Y2056" i="1"/>
  <c r="K2056" i="1"/>
  <c r="Y2058" i="1"/>
  <c r="K2058" i="1"/>
  <c r="Y2060" i="1"/>
  <c r="K2060" i="1"/>
  <c r="K2063" i="1"/>
  <c r="Y2063" i="1"/>
  <c r="K2065" i="1"/>
  <c r="Y2065" i="1"/>
  <c r="K2067" i="1"/>
  <c r="Y2067" i="1"/>
  <c r="Y2068" i="1"/>
  <c r="K2068" i="1"/>
  <c r="Y2070" i="1"/>
  <c r="K2070" i="1"/>
  <c r="K2073" i="1"/>
  <c r="Y2073" i="1"/>
  <c r="Y2074" i="1"/>
  <c r="K2074" i="1"/>
  <c r="Y2077" i="1"/>
  <c r="K2077" i="1"/>
  <c r="Y2079" i="1"/>
  <c r="K2079" i="1"/>
  <c r="Y2081" i="1"/>
  <c r="K2081" i="1"/>
  <c r="K2084" i="1"/>
  <c r="Y2084" i="1"/>
  <c r="Y2085" i="1"/>
  <c r="K2085" i="1"/>
  <c r="K2088" i="1"/>
  <c r="Y2088" i="1"/>
  <c r="Y2089" i="1"/>
  <c r="K2089" i="1"/>
  <c r="K2092" i="1"/>
  <c r="Y2092" i="1"/>
  <c r="Y2093" i="1"/>
  <c r="K2093" i="1"/>
  <c r="K2096" i="1"/>
  <c r="Y2096" i="1"/>
  <c r="Y2097" i="1"/>
  <c r="K2097" i="1"/>
  <c r="K2100" i="1"/>
  <c r="Y2100" i="1"/>
  <c r="Y2101" i="1"/>
  <c r="K2101" i="1"/>
  <c r="K2020" i="1"/>
  <c r="Y2020" i="1"/>
  <c r="Y2021" i="1"/>
  <c r="K2021" i="1"/>
  <c r="K2024" i="1"/>
  <c r="Y2024" i="1"/>
  <c r="Y2025" i="1"/>
  <c r="K2025" i="1"/>
  <c r="K2028" i="1"/>
  <c r="Y2028" i="1"/>
  <c r="Y2029" i="1"/>
  <c r="K2029" i="1"/>
  <c r="K2032" i="1"/>
  <c r="Y2032" i="1"/>
  <c r="Y2033" i="1"/>
  <c r="K2033" i="1"/>
  <c r="K2035" i="1"/>
  <c r="Y2035" i="1"/>
  <c r="Y2036" i="1"/>
  <c r="K2036" i="1"/>
  <c r="K2039" i="1"/>
  <c r="Y2039" i="1"/>
  <c r="K2040" i="1"/>
  <c r="Y2040" i="1"/>
  <c r="Y2041" i="1"/>
  <c r="K2041" i="1"/>
  <c r="Y2045" i="1"/>
  <c r="K2045" i="1"/>
  <c r="Y2047" i="1"/>
  <c r="K2047" i="1"/>
  <c r="Y2049" i="1"/>
  <c r="K2049" i="1"/>
  <c r="K2051" i="1"/>
  <c r="Y2051" i="1"/>
  <c r="Y2052" i="1"/>
  <c r="K2052" i="1"/>
  <c r="K2055" i="1"/>
  <c r="Y2055" i="1"/>
  <c r="K2057" i="1"/>
  <c r="Y2057" i="1"/>
  <c r="K2059" i="1"/>
  <c r="Y2059" i="1"/>
  <c r="K2061" i="1"/>
  <c r="Y2061" i="1"/>
  <c r="Y2062" i="1"/>
  <c r="K2062" i="1"/>
  <c r="Y2064" i="1"/>
  <c r="K2064" i="1"/>
  <c r="Y2066" i="1"/>
  <c r="K2066" i="1"/>
  <c r="K2069" i="1"/>
  <c r="Y2069" i="1"/>
  <c r="K2071" i="1"/>
  <c r="Y2071" i="1"/>
  <c r="Y2072" i="1"/>
  <c r="K2072" i="1"/>
  <c r="K2075" i="1"/>
  <c r="Y2075" i="1"/>
  <c r="Y2076" i="1"/>
  <c r="K2076" i="1"/>
  <c r="K2078" i="1"/>
  <c r="Y2078" i="1"/>
  <c r="K2080" i="1"/>
  <c r="Y2080" i="1"/>
  <c r="K2082" i="1"/>
  <c r="Y2082" i="1"/>
  <c r="Y2083" i="1"/>
  <c r="K2083" i="1"/>
  <c r="K2086" i="1"/>
  <c r="Y2086" i="1"/>
  <c r="Y2087" i="1"/>
  <c r="K2087" i="1"/>
  <c r="K2090" i="1"/>
  <c r="Y2090" i="1"/>
  <c r="Y2091" i="1"/>
  <c r="K2091" i="1"/>
  <c r="K2094" i="1"/>
  <c r="Y2094" i="1"/>
  <c r="Y2095" i="1"/>
  <c r="K2095" i="1"/>
  <c r="K2098" i="1"/>
  <c r="Y2098" i="1"/>
  <c r="Y2099" i="1"/>
  <c r="K2099" i="1"/>
  <c r="K2103" i="1"/>
  <c r="Y2103" i="1"/>
  <c r="Y2104" i="1"/>
  <c r="K2104" i="1"/>
  <c r="K2107" i="1"/>
  <c r="Y2107" i="1"/>
  <c r="K2109" i="1"/>
  <c r="Y2109" i="1"/>
  <c r="K2111" i="1"/>
  <c r="Y2111" i="1"/>
  <c r="K2113" i="1"/>
  <c r="Y2113" i="1"/>
  <c r="K2115" i="1"/>
  <c r="Y2115" i="1"/>
  <c r="Y2116" i="1"/>
  <c r="K2116" i="1"/>
  <c r="K2119" i="1"/>
  <c r="Y2119" i="1"/>
  <c r="Y2120" i="1"/>
  <c r="K2120" i="1"/>
  <c r="Y2122" i="1"/>
  <c r="K2122" i="1"/>
  <c r="K2125" i="1"/>
  <c r="Y2125" i="1"/>
  <c r="Y2126" i="1"/>
  <c r="K2126" i="1"/>
  <c r="Y2128" i="1"/>
  <c r="K2128" i="1"/>
  <c r="Y2130" i="1"/>
  <c r="K2130" i="1"/>
  <c r="Y2132" i="1"/>
  <c r="K2132" i="1"/>
  <c r="Y2134" i="1"/>
  <c r="K2134" i="1"/>
  <c r="K2135" i="1"/>
  <c r="Y2135" i="1"/>
  <c r="K2137" i="1"/>
  <c r="Y2137" i="1"/>
  <c r="Y2138" i="1"/>
  <c r="K2138" i="1"/>
  <c r="K2141" i="1"/>
  <c r="Y2141" i="1"/>
  <c r="K2143" i="1"/>
  <c r="Y2143" i="1"/>
  <c r="K2105" i="1"/>
  <c r="Y2105" i="1"/>
  <c r="Y2106" i="1"/>
  <c r="K2106" i="1"/>
  <c r="Y2108" i="1"/>
  <c r="K2108" i="1"/>
  <c r="Y2110" i="1"/>
  <c r="K2110" i="1"/>
  <c r="Y2112" i="1"/>
  <c r="K2112" i="1"/>
  <c r="Y2114" i="1"/>
  <c r="K2114" i="1"/>
  <c r="K2117" i="1"/>
  <c r="Y2117" i="1"/>
  <c r="Y2118" i="1"/>
  <c r="K2118" i="1"/>
  <c r="K2121" i="1"/>
  <c r="Y2121" i="1"/>
  <c r="K2123" i="1"/>
  <c r="Y2123" i="1"/>
  <c r="Y2124" i="1"/>
  <c r="K2124" i="1"/>
  <c r="K2127" i="1"/>
  <c r="Y2127" i="1"/>
  <c r="K2129" i="1"/>
  <c r="Y2129" i="1"/>
  <c r="K2131" i="1"/>
  <c r="Y2131" i="1"/>
  <c r="K2133" i="1"/>
  <c r="Y2133" i="1"/>
  <c r="Y2136" i="1"/>
  <c r="K2136" i="1"/>
  <c r="K2139" i="1"/>
  <c r="Y2139" i="1"/>
  <c r="Y2140" i="1"/>
  <c r="K2140" i="1"/>
  <c r="Y2142" i="1"/>
  <c r="K2142" i="1"/>
  <c r="Y2144" i="1"/>
  <c r="K2144" i="1"/>
  <c r="Y2145" i="1"/>
  <c r="K2145" i="1"/>
  <c r="Y2146" i="1"/>
  <c r="K2146" i="1"/>
  <c r="K2149" i="1"/>
  <c r="Y2149" i="1"/>
  <c r="Y2150" i="1"/>
  <c r="K2150" i="1"/>
  <c r="K2153" i="1"/>
  <c r="Y2153" i="1"/>
  <c r="Y2154" i="1"/>
  <c r="K2154" i="1"/>
  <c r="K2157" i="1"/>
  <c r="Y2157" i="1"/>
  <c r="Y2158" i="1"/>
  <c r="K2158" i="1"/>
  <c r="K2161" i="1"/>
  <c r="Y2161" i="1"/>
  <c r="K2163" i="1"/>
  <c r="Y2163" i="1"/>
  <c r="K2165" i="1"/>
  <c r="Y2165" i="1"/>
  <c r="Y2166" i="1"/>
  <c r="K2166" i="1"/>
  <c r="K2169" i="1"/>
  <c r="Y2169" i="1"/>
  <c r="Y2170" i="1"/>
  <c r="K2170" i="1"/>
  <c r="Y2173" i="1"/>
  <c r="K2173" i="1"/>
  <c r="K2176" i="1"/>
  <c r="Y2176" i="1"/>
  <c r="Y2177" i="1"/>
  <c r="K2177" i="1"/>
  <c r="K2180" i="1"/>
  <c r="Y2180" i="1"/>
  <c r="Y2181" i="1"/>
  <c r="K2181" i="1"/>
  <c r="Y2183" i="1"/>
  <c r="K2183" i="1"/>
  <c r="K2184" i="1"/>
  <c r="Y2184" i="1"/>
  <c r="Y2187" i="1"/>
  <c r="K2187" i="1"/>
  <c r="K2147" i="1"/>
  <c r="Y2147" i="1"/>
  <c r="Y2148" i="1"/>
  <c r="K2148" i="1"/>
  <c r="K2151" i="1"/>
  <c r="Y2151" i="1"/>
  <c r="Y2152" i="1"/>
  <c r="K2152" i="1"/>
  <c r="K2155" i="1"/>
  <c r="Y2155" i="1"/>
  <c r="Y2156" i="1"/>
  <c r="K2156" i="1"/>
  <c r="K2159" i="1"/>
  <c r="Y2159" i="1"/>
  <c r="Y2160" i="1"/>
  <c r="K2160" i="1"/>
  <c r="Y2162" i="1"/>
  <c r="K2162" i="1"/>
  <c r="Y2164" i="1"/>
  <c r="K2164" i="1"/>
  <c r="K2167" i="1"/>
  <c r="Y2167" i="1"/>
  <c r="Y2168" i="1"/>
  <c r="K2168" i="1"/>
  <c r="K2171" i="1"/>
  <c r="Y2171" i="1"/>
  <c r="Y2172" i="1"/>
  <c r="K2172" i="1"/>
  <c r="K2174" i="1"/>
  <c r="Y2174" i="1"/>
  <c r="Y2175" i="1"/>
  <c r="K2175" i="1"/>
  <c r="K2178" i="1"/>
  <c r="Y2178" i="1"/>
  <c r="Y2179" i="1"/>
  <c r="K2179" i="1"/>
  <c r="K2182" i="1"/>
  <c r="Y2182" i="1"/>
  <c r="Y2185" i="1"/>
  <c r="K2185" i="1"/>
  <c r="K2186" i="1"/>
  <c r="Y2186" i="1"/>
  <c r="Y2188" i="1"/>
  <c r="K2188" i="1"/>
  <c r="K2189" i="1"/>
  <c r="Y2189" i="1"/>
  <c r="Y2192" i="1"/>
  <c r="K2192" i="1"/>
  <c r="K2193" i="1"/>
  <c r="Y2193" i="1"/>
  <c r="K2195" i="1"/>
  <c r="Y2195" i="1"/>
  <c r="Y2198" i="1"/>
  <c r="K2198" i="1"/>
  <c r="K2199" i="1"/>
  <c r="Y2199" i="1"/>
  <c r="Y2202" i="1"/>
  <c r="K2202" i="1"/>
  <c r="Y2204" i="1"/>
  <c r="K2204" i="1"/>
  <c r="K2205" i="1"/>
  <c r="Y2205" i="1"/>
  <c r="Y2190" i="1"/>
  <c r="K2190" i="1"/>
  <c r="K2191" i="1"/>
  <c r="Y2191" i="1"/>
  <c r="Y2194" i="1"/>
  <c r="K2194" i="1"/>
  <c r="Y2196" i="1"/>
  <c r="K2196" i="1"/>
  <c r="K2197" i="1"/>
  <c r="Y2197" i="1"/>
  <c r="Y2200" i="1"/>
  <c r="K2200" i="1"/>
  <c r="K2201" i="1"/>
  <c r="Y2201" i="1"/>
  <c r="K2203" i="1"/>
  <c r="Y2203" i="1"/>
  <c r="Y2206" i="1"/>
  <c r="K2206" i="1"/>
  <c r="K2207" i="1"/>
  <c r="Y2207" i="1"/>
  <c r="K2208" i="1"/>
  <c r="Y2209" i="1"/>
  <c r="K2209" i="1"/>
  <c r="K2212" i="1"/>
  <c r="Y2212" i="1"/>
  <c r="K2214" i="1"/>
  <c r="Y2214" i="1"/>
  <c r="Y2215" i="1"/>
  <c r="K2215" i="1"/>
  <c r="K2218" i="1"/>
  <c r="Y2218" i="1"/>
  <c r="Y2219" i="1"/>
  <c r="K2219" i="1"/>
  <c r="K2222" i="1"/>
  <c r="Y2222" i="1"/>
  <c r="Y2223" i="1"/>
  <c r="K2223" i="1"/>
  <c r="Y2225" i="1"/>
  <c r="K2225" i="1"/>
  <c r="Y2227" i="1"/>
  <c r="K2227" i="1"/>
  <c r="K2228" i="1"/>
  <c r="Y2228" i="1"/>
  <c r="K2210" i="1"/>
  <c r="Y2210" i="1"/>
  <c r="Y2211" i="1"/>
  <c r="K2211" i="1"/>
  <c r="Y2213" i="1"/>
  <c r="K2213" i="1"/>
  <c r="K2216" i="1"/>
  <c r="Y2216" i="1"/>
  <c r="Y2217" i="1"/>
  <c r="K2217" i="1"/>
  <c r="K2220" i="1"/>
  <c r="Y2220" i="1"/>
  <c r="Y2221" i="1"/>
  <c r="K2221" i="1"/>
  <c r="K2224" i="1"/>
  <c r="Y2224" i="1"/>
  <c r="K2226" i="1"/>
  <c r="Y2226" i="1"/>
  <c r="Y2229" i="1"/>
  <c r="K2229" i="1"/>
  <c r="K2102" i="1" l="1"/>
  <c r="Y1493" i="1"/>
  <c r="Y1487" i="1"/>
  <c r="Y1433" i="1"/>
  <c r="Y1413" i="1"/>
  <c r="Y1409" i="1"/>
  <c r="Y1405" i="1"/>
  <c r="Y1401" i="1"/>
  <c r="Y1397" i="1"/>
  <c r="Y1393" i="1"/>
  <c r="Y1389" i="1"/>
  <c r="K878" i="1"/>
  <c r="Y878" i="1"/>
  <c r="K890" i="1"/>
  <c r="Y890" i="1"/>
  <c r="Y889" i="1"/>
  <c r="K889" i="1"/>
  <c r="Y885" i="1"/>
  <c r="K885" i="1"/>
  <c r="Y862" i="1"/>
  <c r="K862" i="1"/>
  <c r="Y858" i="1"/>
  <c r="K858" i="1"/>
  <c r="Y854" i="1"/>
  <c r="K854" i="1"/>
  <c r="Y832" i="1"/>
  <c r="K832" i="1"/>
  <c r="Y824" i="1"/>
  <c r="K824" i="1"/>
  <c r="Y820" i="1"/>
  <c r="K820" i="1"/>
  <c r="Y816" i="1"/>
  <c r="K816" i="1"/>
  <c r="Y810" i="1"/>
  <c r="K810" i="1"/>
  <c r="Y806" i="1"/>
  <c r="K806" i="1"/>
  <c r="Y802" i="1"/>
  <c r="K802" i="1"/>
  <c r="Y796" i="1"/>
  <c r="K796" i="1"/>
  <c r="Y792" i="1"/>
  <c r="K792" i="1"/>
  <c r="Y788" i="1"/>
  <c r="K788" i="1"/>
  <c r="Y784" i="1"/>
  <c r="K784" i="1"/>
  <c r="Y780" i="1"/>
  <c r="K780" i="1"/>
  <c r="Y758" i="1"/>
  <c r="K758" i="1"/>
  <c r="Y754" i="1"/>
  <c r="K754" i="1"/>
  <c r="Y750" i="1"/>
  <c r="K750" i="1"/>
  <c r="Y747" i="1"/>
  <c r="K747" i="1"/>
  <c r="Y740" i="1"/>
  <c r="K740" i="1"/>
  <c r="Y726" i="1"/>
  <c r="K726" i="1"/>
  <c r="Y711" i="1"/>
  <c r="K711" i="1"/>
  <c r="Y703" i="1"/>
  <c r="K703" i="1"/>
  <c r="Y699" i="1"/>
  <c r="K699" i="1"/>
  <c r="Y685" i="1"/>
  <c r="K685" i="1"/>
  <c r="Y681" i="1"/>
  <c r="K681" i="1"/>
  <c r="Y677" i="1"/>
  <c r="K677" i="1"/>
  <c r="Y668" i="1"/>
  <c r="K668" i="1"/>
  <c r="Y664" i="1"/>
  <c r="K664" i="1"/>
  <c r="Y650" i="1"/>
  <c r="K650" i="1"/>
  <c r="Y644" i="1"/>
  <c r="K644" i="1"/>
  <c r="Y640" i="1"/>
  <c r="K640" i="1"/>
  <c r="Y628" i="1"/>
  <c r="K628" i="1"/>
  <c r="Y624" i="1"/>
  <c r="K624" i="1"/>
  <c r="Y620" i="1"/>
  <c r="K620" i="1"/>
  <c r="Y583" i="1"/>
  <c r="K583" i="1"/>
  <c r="Y579" i="1"/>
  <c r="K579" i="1"/>
  <c r="Y575" i="1"/>
  <c r="K575" i="1"/>
  <c r="Y571" i="1"/>
  <c r="K571" i="1"/>
  <c r="Y563" i="1"/>
  <c r="K563" i="1"/>
  <c r="Y559" i="1"/>
  <c r="K559" i="1"/>
  <c r="Y557" i="1"/>
  <c r="K557" i="1"/>
  <c r="Y553" i="1"/>
  <c r="K553" i="1"/>
  <c r="Y549" i="1"/>
  <c r="K549" i="1"/>
  <c r="Y543" i="1"/>
  <c r="K543" i="1"/>
  <c r="Y533" i="1"/>
  <c r="K533" i="1"/>
  <c r="Y527" i="1"/>
  <c r="K527" i="1"/>
  <c r="Y522" i="1"/>
  <c r="K522" i="1"/>
  <c r="Y874" i="1"/>
  <c r="K874" i="1"/>
  <c r="Y870" i="1"/>
  <c r="K870" i="1"/>
  <c r="Y866" i="1"/>
  <c r="K866" i="1"/>
  <c r="Y848" i="1"/>
  <c r="K848" i="1"/>
  <c r="Y844" i="1"/>
  <c r="K844" i="1"/>
  <c r="Y840" i="1"/>
  <c r="K840" i="1"/>
  <c r="Y834" i="1"/>
  <c r="K834" i="1"/>
  <c r="Y774" i="1"/>
  <c r="K774" i="1"/>
  <c r="Y768" i="1"/>
  <c r="K768" i="1"/>
  <c r="Y764" i="1"/>
  <c r="K764" i="1"/>
  <c r="Y760" i="1"/>
  <c r="K760" i="1"/>
  <c r="Y734" i="1"/>
  <c r="K734" i="1"/>
  <c r="Y730" i="1"/>
  <c r="K730" i="1"/>
  <c r="Y719" i="1"/>
  <c r="K719" i="1"/>
  <c r="Y715" i="1"/>
  <c r="K715" i="1"/>
  <c r="Y705" i="1"/>
  <c r="K705" i="1"/>
  <c r="Y693" i="1"/>
  <c r="K693" i="1"/>
  <c r="Y689" i="1"/>
  <c r="K689" i="1"/>
  <c r="Y670" i="1"/>
  <c r="K670" i="1"/>
  <c r="Y660" i="1"/>
  <c r="K660" i="1"/>
  <c r="Y637" i="1"/>
  <c r="K637" i="1"/>
  <c r="Y635" i="1"/>
  <c r="K635" i="1"/>
  <c r="Y632" i="1"/>
  <c r="K632" i="1"/>
  <c r="Y547" i="1"/>
  <c r="K547" i="1"/>
  <c r="Y529" i="1"/>
  <c r="K529" i="1"/>
  <c r="Y515" i="1"/>
  <c r="K515" i="1"/>
  <c r="Y511" i="1"/>
  <c r="K511" i="1"/>
  <c r="Y483" i="1"/>
  <c r="K483" i="1"/>
  <c r="Y481" i="1"/>
  <c r="K481" i="1"/>
  <c r="Y479" i="1"/>
  <c r="K479" i="1"/>
  <c r="Y461" i="1"/>
  <c r="K461" i="1"/>
  <c r="Y455" i="1"/>
  <c r="K455" i="1"/>
  <c r="Y453" i="1"/>
  <c r="K453" i="1"/>
  <c r="Y450" i="1"/>
  <c r="K450" i="1"/>
  <c r="Y447" i="1"/>
  <c r="K447" i="1"/>
  <c r="Y444" i="1"/>
  <c r="K444" i="1"/>
  <c r="Y436" i="1"/>
  <c r="K436" i="1"/>
  <c r="Y433" i="1"/>
  <c r="K433" i="1"/>
  <c r="Y374" i="1"/>
  <c r="K374" i="1"/>
  <c r="Y372" i="1"/>
  <c r="K372" i="1"/>
  <c r="Y368" i="1"/>
  <c r="K368" i="1"/>
  <c r="Y362" i="1"/>
  <c r="K362" i="1"/>
  <c r="Y358" i="1"/>
  <c r="K358" i="1"/>
  <c r="Y354" i="1"/>
  <c r="K354" i="1"/>
  <c r="Y350" i="1"/>
  <c r="K350" i="1"/>
  <c r="Y344" i="1"/>
  <c r="K344" i="1"/>
  <c r="Y340" i="1"/>
  <c r="K340" i="1"/>
  <c r="Y336" i="1"/>
  <c r="K336" i="1"/>
  <c r="Y332" i="1"/>
  <c r="K332" i="1"/>
  <c r="Y328" i="1"/>
  <c r="K328" i="1"/>
  <c r="Y324" i="1"/>
  <c r="K324" i="1"/>
  <c r="Y320" i="1"/>
  <c r="K320" i="1"/>
  <c r="Y314" i="1"/>
  <c r="K314" i="1"/>
  <c r="Y310" i="1"/>
  <c r="K310" i="1"/>
  <c r="Y306" i="1"/>
  <c r="K306" i="1"/>
  <c r="Y227" i="1"/>
  <c r="K227" i="1"/>
  <c r="Y222" i="1"/>
  <c r="K222" i="1"/>
  <c r="Y217" i="1"/>
  <c r="K217" i="1"/>
  <c r="Y209" i="1"/>
  <c r="K209" i="1"/>
  <c r="Y201" i="1"/>
  <c r="K201" i="1"/>
  <c r="Y193" i="1"/>
  <c r="K193" i="1"/>
  <c r="Y185" i="1"/>
  <c r="K185" i="1"/>
  <c r="Y177" i="1"/>
  <c r="K177" i="1"/>
  <c r="Y164" i="1"/>
  <c r="K164" i="1"/>
  <c r="Y146" i="1"/>
  <c r="K146" i="1"/>
  <c r="Y141" i="1"/>
  <c r="K141" i="1"/>
  <c r="Y127" i="1"/>
  <c r="K127" i="1"/>
  <c r="Y108" i="1"/>
  <c r="K108" i="1"/>
  <c r="Y104" i="1"/>
  <c r="K104" i="1"/>
  <c r="Y96" i="1"/>
  <c r="K96" i="1"/>
  <c r="Y83" i="1"/>
  <c r="K83" i="1"/>
  <c r="Y75" i="1"/>
  <c r="K75" i="1"/>
  <c r="Y67" i="1"/>
  <c r="K67" i="1"/>
  <c r="Y59" i="1"/>
  <c r="K59" i="1"/>
  <c r="Y51" i="1"/>
  <c r="K51" i="1"/>
  <c r="Y43" i="1"/>
  <c r="K43" i="1"/>
  <c r="Y36" i="1"/>
  <c r="K36" i="1"/>
  <c r="Y31" i="1"/>
  <c r="K31" i="1"/>
  <c r="Y25" i="1"/>
  <c r="K25" i="1"/>
  <c r="Y17" i="1"/>
  <c r="K17" i="1"/>
  <c r="Y302" i="1"/>
  <c r="K302" i="1"/>
  <c r="Y298" i="1"/>
  <c r="K298" i="1"/>
  <c r="Y291" i="1"/>
  <c r="K291" i="1"/>
  <c r="Y285" i="1"/>
  <c r="K285" i="1"/>
  <c r="Y281" i="1"/>
  <c r="K281" i="1"/>
  <c r="Y278" i="1"/>
  <c r="K278" i="1"/>
  <c r="Y274" i="1"/>
  <c r="K274" i="1"/>
  <c r="Y270" i="1"/>
  <c r="K270" i="1"/>
  <c r="Y266" i="1"/>
  <c r="K266" i="1"/>
  <c r="Y262" i="1"/>
  <c r="K262" i="1"/>
  <c r="Y258" i="1"/>
  <c r="K258" i="1"/>
  <c r="Y254" i="1"/>
  <c r="K254" i="1"/>
  <c r="Y250" i="1"/>
  <c r="K250" i="1"/>
  <c r="Y244" i="1"/>
  <c r="K244" i="1"/>
  <c r="Y240" i="1"/>
  <c r="K240" i="1"/>
  <c r="Y237" i="1"/>
  <c r="K237" i="1"/>
  <c r="Y235" i="1"/>
  <c r="K235" i="1"/>
  <c r="Y229" i="1"/>
  <c r="K229" i="1"/>
  <c r="Y1746" i="1"/>
  <c r="K1746" i="1"/>
  <c r="K1572" i="1"/>
  <c r="Y1572" i="1"/>
  <c r="Y893" i="1"/>
  <c r="K893" i="1"/>
  <c r="Y881" i="1"/>
  <c r="K881" i="1"/>
  <c r="Y864" i="1"/>
  <c r="K864" i="1"/>
  <c r="Y860" i="1"/>
  <c r="K860" i="1"/>
  <c r="Y856" i="1"/>
  <c r="K856" i="1"/>
  <c r="Y852" i="1"/>
  <c r="K852" i="1"/>
  <c r="Y826" i="1"/>
  <c r="K826" i="1"/>
  <c r="Y822" i="1"/>
  <c r="K822" i="1"/>
  <c r="Y818" i="1"/>
  <c r="K818" i="1"/>
  <c r="Y812" i="1"/>
  <c r="K812" i="1"/>
  <c r="Y808" i="1"/>
  <c r="K808" i="1"/>
  <c r="Y804" i="1"/>
  <c r="K804" i="1"/>
  <c r="Y800" i="1"/>
  <c r="K800" i="1"/>
  <c r="Y794" i="1"/>
  <c r="K794" i="1"/>
  <c r="Y790" i="1"/>
  <c r="K790" i="1"/>
  <c r="Y786" i="1"/>
  <c r="K786" i="1"/>
  <c r="Y782" i="1"/>
  <c r="K782" i="1"/>
  <c r="Y778" i="1"/>
  <c r="K778" i="1"/>
  <c r="Y756" i="1"/>
  <c r="K756" i="1"/>
  <c r="Y752" i="1"/>
  <c r="K752" i="1"/>
  <c r="Y749" i="1"/>
  <c r="K749" i="1"/>
  <c r="Y742" i="1"/>
  <c r="K742" i="1"/>
  <c r="Y728" i="1"/>
  <c r="K728" i="1"/>
  <c r="Y713" i="1"/>
  <c r="K713" i="1"/>
  <c r="Y709" i="1"/>
  <c r="K709" i="1"/>
  <c r="Y701" i="1"/>
  <c r="K701" i="1"/>
  <c r="Y697" i="1"/>
  <c r="K697" i="1"/>
  <c r="Y683" i="1"/>
  <c r="K683" i="1"/>
  <c r="Y679" i="1"/>
  <c r="K679" i="1"/>
  <c r="Y672" i="1"/>
  <c r="K672" i="1"/>
  <c r="Y666" i="1"/>
  <c r="K666" i="1"/>
  <c r="Y654" i="1"/>
  <c r="K654" i="1"/>
  <c r="Y646" i="1"/>
  <c r="K646" i="1"/>
  <c r="Y642" i="1"/>
  <c r="K642" i="1"/>
  <c r="Y630" i="1"/>
  <c r="K630" i="1"/>
  <c r="Y626" i="1"/>
  <c r="K626" i="1"/>
  <c r="Y622" i="1"/>
  <c r="K622" i="1"/>
  <c r="Y585" i="1"/>
  <c r="K585" i="1"/>
  <c r="Y581" i="1"/>
  <c r="K581" i="1"/>
  <c r="Y577" i="1"/>
  <c r="K577" i="1"/>
  <c r="Y573" i="1"/>
  <c r="K573" i="1"/>
  <c r="Y567" i="1"/>
  <c r="K567" i="1"/>
  <c r="Y561" i="1"/>
  <c r="K561" i="1"/>
  <c r="Y558" i="1"/>
  <c r="K558" i="1"/>
  <c r="Y556" i="1"/>
  <c r="K556" i="1"/>
  <c r="Y551" i="1"/>
  <c r="K551" i="1"/>
  <c r="Y545" i="1"/>
  <c r="K545" i="1"/>
  <c r="Y535" i="1"/>
  <c r="K535" i="1"/>
  <c r="Y531" i="1"/>
  <c r="K531" i="1"/>
  <c r="Y525" i="1"/>
  <c r="K525" i="1"/>
  <c r="K519" i="1"/>
  <c r="Y519" i="1"/>
  <c r="Y876" i="1"/>
  <c r="K876" i="1"/>
  <c r="Y872" i="1"/>
  <c r="K872" i="1"/>
  <c r="Y868" i="1"/>
  <c r="K868" i="1"/>
  <c r="Y850" i="1"/>
  <c r="K850" i="1"/>
  <c r="Y846" i="1"/>
  <c r="K846" i="1"/>
  <c r="Y842" i="1"/>
  <c r="K842" i="1"/>
  <c r="Y836" i="1"/>
  <c r="K836" i="1"/>
  <c r="Y776" i="1"/>
  <c r="K776" i="1"/>
  <c r="Y770" i="1"/>
  <c r="K770" i="1"/>
  <c r="Y766" i="1"/>
  <c r="K766" i="1"/>
  <c r="Y762" i="1"/>
  <c r="K762" i="1"/>
  <c r="Y736" i="1"/>
  <c r="K736" i="1"/>
  <c r="Y732" i="1"/>
  <c r="K732" i="1"/>
  <c r="Y724" i="1"/>
  <c r="K724" i="1"/>
  <c r="Y717" i="1"/>
  <c r="K717" i="1"/>
  <c r="Y707" i="1"/>
  <c r="K707" i="1"/>
  <c r="Y695" i="1"/>
  <c r="K695" i="1"/>
  <c r="Y691" i="1"/>
  <c r="K691" i="1"/>
  <c r="Y674" i="1"/>
  <c r="K674" i="1"/>
  <c r="Y662" i="1"/>
  <c r="K662" i="1"/>
  <c r="Y658" i="1"/>
  <c r="K658" i="1"/>
  <c r="Y636" i="1"/>
  <c r="K636" i="1"/>
  <c r="Y634" i="1"/>
  <c r="K634" i="1"/>
  <c r="Y588" i="1"/>
  <c r="K588" i="1"/>
  <c r="Y541" i="1"/>
  <c r="K541" i="1"/>
  <c r="Y517" i="1"/>
  <c r="K517" i="1"/>
  <c r="Y513" i="1"/>
  <c r="K513" i="1"/>
  <c r="Y509" i="1"/>
  <c r="K509" i="1"/>
  <c r="Y482" i="1"/>
  <c r="K482" i="1"/>
  <c r="Y480" i="1"/>
  <c r="K480" i="1"/>
  <c r="Y463" i="1"/>
  <c r="K463" i="1"/>
  <c r="Y457" i="1"/>
  <c r="K457" i="1"/>
  <c r="Y454" i="1"/>
  <c r="K454" i="1"/>
  <c r="Y451" i="1"/>
  <c r="K451" i="1"/>
  <c r="Y448" i="1"/>
  <c r="K448" i="1"/>
  <c r="Y445" i="1"/>
  <c r="K445" i="1"/>
  <c r="Y443" i="1"/>
  <c r="K443" i="1"/>
  <c r="Y435" i="1"/>
  <c r="K435" i="1"/>
  <c r="Y382" i="1"/>
  <c r="K382" i="1"/>
  <c r="Y373" i="1"/>
  <c r="K373" i="1"/>
  <c r="Y370" i="1"/>
  <c r="K370" i="1"/>
  <c r="Y364" i="1"/>
  <c r="K364" i="1"/>
  <c r="Y360" i="1"/>
  <c r="K360" i="1"/>
  <c r="Y356" i="1"/>
  <c r="K356" i="1"/>
  <c r="Y352" i="1"/>
  <c r="K352" i="1"/>
  <c r="Y346" i="1"/>
  <c r="K346" i="1"/>
  <c r="Y342" i="1"/>
  <c r="K342" i="1"/>
  <c r="Y338" i="1"/>
  <c r="K338" i="1"/>
  <c r="Y334" i="1"/>
  <c r="K334" i="1"/>
  <c r="Y330" i="1"/>
  <c r="K330" i="1"/>
  <c r="Y326" i="1"/>
  <c r="K326" i="1"/>
  <c r="Y322" i="1"/>
  <c r="K322" i="1"/>
  <c r="Y316" i="1"/>
  <c r="K316" i="1"/>
  <c r="Y312" i="1"/>
  <c r="K312" i="1"/>
  <c r="Y308" i="1"/>
  <c r="K308" i="1"/>
  <c r="Y304" i="1"/>
  <c r="K304" i="1"/>
  <c r="Y223" i="1"/>
  <c r="K223" i="1"/>
  <c r="Y221" i="1"/>
  <c r="K221" i="1"/>
  <c r="Y213" i="1"/>
  <c r="K213" i="1"/>
  <c r="Y205" i="1"/>
  <c r="K205" i="1"/>
  <c r="Y197" i="1"/>
  <c r="K197" i="1"/>
  <c r="Y189" i="1"/>
  <c r="K189" i="1"/>
  <c r="Y181" i="1"/>
  <c r="K181" i="1"/>
  <c r="Y173" i="1"/>
  <c r="K173" i="1"/>
  <c r="Y168" i="1"/>
  <c r="K168" i="1"/>
  <c r="Y153" i="1"/>
  <c r="K153" i="1"/>
  <c r="Y147" i="1"/>
  <c r="K147" i="1"/>
  <c r="Y145" i="1"/>
  <c r="K145" i="1"/>
  <c r="Y137" i="1"/>
  <c r="K137" i="1"/>
  <c r="Y131" i="1"/>
  <c r="K131" i="1"/>
  <c r="Y121" i="1"/>
  <c r="K121" i="1"/>
  <c r="Y116" i="1"/>
  <c r="K116" i="1"/>
  <c r="Y112" i="1"/>
  <c r="K112" i="1"/>
  <c r="Y100" i="1"/>
  <c r="K100" i="1"/>
  <c r="Y87" i="1"/>
  <c r="K87" i="1"/>
  <c r="Y79" i="1"/>
  <c r="K79" i="1"/>
  <c r="Y71" i="1"/>
  <c r="K71" i="1"/>
  <c r="Y63" i="1"/>
  <c r="K63" i="1"/>
  <c r="Y55" i="1"/>
  <c r="K55" i="1"/>
  <c r="Y47" i="1"/>
  <c r="K47" i="1"/>
  <c r="Y39" i="1"/>
  <c r="K39" i="1"/>
  <c r="Y35" i="1"/>
  <c r="K35" i="1"/>
  <c r="Y21" i="1"/>
  <c r="K21" i="1"/>
  <c r="Y13" i="1"/>
  <c r="K13" i="1"/>
  <c r="Y300" i="1"/>
  <c r="K300" i="1"/>
  <c r="Y295" i="1"/>
  <c r="K295" i="1"/>
  <c r="Y287" i="1"/>
  <c r="K287" i="1"/>
  <c r="Y283" i="1"/>
  <c r="K283" i="1"/>
  <c r="Y279" i="1"/>
  <c r="K279" i="1"/>
  <c r="Y276" i="1"/>
  <c r="K276" i="1"/>
  <c r="Y272" i="1"/>
  <c r="K272" i="1"/>
  <c r="Y268" i="1"/>
  <c r="K268" i="1"/>
  <c r="Y263" i="1"/>
  <c r="K263" i="1"/>
  <c r="Y260" i="1"/>
  <c r="K260" i="1"/>
  <c r="Y256" i="1"/>
  <c r="K256" i="1"/>
  <c r="Y252" i="1"/>
  <c r="K252" i="1"/>
  <c r="Y246" i="1"/>
  <c r="K246" i="1"/>
  <c r="Y242" i="1"/>
  <c r="K242" i="1"/>
  <c r="Y239" i="1"/>
  <c r="K239" i="1"/>
  <c r="Y236" i="1"/>
  <c r="K236" i="1"/>
  <c r="Y230" i="1"/>
  <c r="K230" i="1"/>
  <c r="K1545" i="1"/>
  <c r="Y1545" i="1"/>
  <c r="K1542" i="1"/>
  <c r="Y1542" i="1"/>
  <c r="K1538" i="1"/>
  <c r="Y1538" i="1"/>
  <c r="K1535" i="1"/>
  <c r="Y1535" i="1"/>
  <c r="K1529" i="1"/>
  <c r="Y1529" i="1"/>
  <c r="K1525" i="1"/>
  <c r="Y1525" i="1"/>
  <c r="K1521" i="1"/>
  <c r="Y1521" i="1"/>
  <c r="K1517" i="1"/>
  <c r="Y1517" i="1"/>
  <c r="K1513" i="1"/>
  <c r="Y1513" i="1"/>
  <c r="K1509" i="1"/>
  <c r="Y1509" i="1"/>
  <c r="K1505" i="1"/>
  <c r="Y1505" i="1"/>
  <c r="K1501" i="1"/>
  <c r="Y1501" i="1"/>
  <c r="K1498" i="1"/>
  <c r="Y1498" i="1"/>
  <c r="K1496" i="1"/>
  <c r="Y1496" i="1"/>
  <c r="K1476" i="1"/>
  <c r="Y1476" i="1"/>
  <c r="K1472" i="1"/>
  <c r="Y1472" i="1"/>
  <c r="K1468" i="1"/>
  <c r="Y1468" i="1"/>
  <c r="K1462" i="1"/>
  <c r="Y1462" i="1"/>
  <c r="K1459" i="1"/>
  <c r="Y1459" i="1"/>
  <c r="K1456" i="1"/>
  <c r="Y1456" i="1"/>
  <c r="K1453" i="1"/>
  <c r="Y1453" i="1"/>
  <c r="K1450" i="1"/>
  <c r="Y1450" i="1"/>
  <c r="K1448" i="1"/>
  <c r="Y1448" i="1"/>
  <c r="K1425" i="1"/>
  <c r="Y1425" i="1"/>
  <c r="K1383" i="1"/>
  <c r="Y1383" i="1"/>
  <c r="K1379" i="1"/>
  <c r="Y1379" i="1"/>
  <c r="K1375" i="1"/>
  <c r="Y1375" i="1"/>
  <c r="K1371" i="1"/>
  <c r="Y1371" i="1"/>
  <c r="K1367" i="1"/>
  <c r="Y1367" i="1"/>
  <c r="K1363" i="1"/>
  <c r="Y1363" i="1"/>
  <c r="K1359" i="1"/>
  <c r="Y1359" i="1"/>
  <c r="K1355" i="1"/>
  <c r="Y1355" i="1"/>
  <c r="K1353" i="1"/>
  <c r="Y1353" i="1"/>
  <c r="K1349" i="1"/>
  <c r="Y1349" i="1"/>
  <c r="K1345" i="1"/>
  <c r="Y1345" i="1"/>
  <c r="K1341" i="1"/>
  <c r="Y1341" i="1"/>
  <c r="K1337" i="1"/>
  <c r="Y1337" i="1"/>
  <c r="K1333" i="1"/>
  <c r="Y1333" i="1"/>
  <c r="K1329" i="1"/>
  <c r="Y1329" i="1"/>
  <c r="K1325" i="1"/>
  <c r="Y1325" i="1"/>
  <c r="K1321" i="1"/>
  <c r="Y1321" i="1"/>
  <c r="K1317" i="1"/>
  <c r="Y1317" i="1"/>
  <c r="K1313" i="1"/>
  <c r="Y1313" i="1"/>
  <c r="K1306" i="1"/>
  <c r="Y1306" i="1"/>
  <c r="K1302" i="1"/>
  <c r="Y1302" i="1"/>
  <c r="K1298" i="1"/>
  <c r="Y1298" i="1"/>
  <c r="K1294" i="1"/>
  <c r="Y1294" i="1"/>
  <c r="K1290" i="1"/>
  <c r="Y1290" i="1"/>
  <c r="K1286" i="1"/>
  <c r="Y1286" i="1"/>
  <c r="K1282" i="1"/>
  <c r="Y1282" i="1"/>
  <c r="K1279" i="1"/>
  <c r="Y1279" i="1"/>
  <c r="K1275" i="1"/>
  <c r="Y1275" i="1"/>
  <c r="K1270" i="1"/>
  <c r="Y1270" i="1"/>
  <c r="K1266" i="1"/>
  <c r="Y1266" i="1"/>
  <c r="K1262" i="1"/>
  <c r="Y1262" i="1"/>
  <c r="K1258" i="1"/>
  <c r="Y1258" i="1"/>
  <c r="K1254" i="1"/>
  <c r="Y1254" i="1"/>
  <c r="K1250" i="1"/>
  <c r="Y1250" i="1"/>
  <c r="K973" i="1"/>
  <c r="Y973" i="1"/>
  <c r="K969" i="1"/>
  <c r="Y969" i="1"/>
  <c r="K965" i="1"/>
  <c r="Y965" i="1"/>
  <c r="K961" i="1"/>
  <c r="Y961" i="1"/>
  <c r="K958" i="1"/>
  <c r="Y958" i="1"/>
  <c r="K954" i="1"/>
  <c r="Y954" i="1"/>
  <c r="K950" i="1"/>
  <c r="Y950" i="1"/>
  <c r="K946" i="1"/>
  <c r="Y946" i="1"/>
  <c r="K942" i="1"/>
  <c r="Y942" i="1"/>
  <c r="K938" i="1"/>
  <c r="Y938" i="1"/>
  <c r="K934" i="1"/>
  <c r="Y934" i="1"/>
  <c r="K930" i="1"/>
  <c r="Y930" i="1"/>
  <c r="K926" i="1"/>
  <c r="Y926" i="1"/>
  <c r="K922" i="1"/>
  <c r="Y922" i="1"/>
  <c r="K918" i="1"/>
  <c r="Y918" i="1"/>
  <c r="K914" i="1"/>
  <c r="Y914" i="1"/>
  <c r="K912" i="1"/>
  <c r="Y912" i="1"/>
  <c r="K905" i="1"/>
  <c r="Y905" i="1"/>
  <c r="K901" i="1"/>
  <c r="Y901" i="1"/>
  <c r="K897" i="1"/>
  <c r="Y897" i="1"/>
  <c r="P894" i="1"/>
  <c r="Q894" i="1" s="1"/>
  <c r="S894" i="1" s="1"/>
  <c r="J894" i="1" s="1"/>
  <c r="Y891" i="1"/>
  <c r="K891" i="1"/>
  <c r="Y887" i="1"/>
  <c r="K887" i="1"/>
  <c r="P882" i="1"/>
  <c r="Q882" i="1" s="1"/>
  <c r="S882" i="1" s="1"/>
  <c r="J882" i="1" s="1"/>
  <c r="Y879" i="1"/>
  <c r="K879" i="1"/>
  <c r="P877" i="1"/>
  <c r="Q877" i="1" s="1"/>
  <c r="S877" i="1" s="1"/>
  <c r="J877" i="1" s="1"/>
  <c r="P896" i="1"/>
  <c r="Q896" i="1" s="1"/>
  <c r="S896" i="1" s="1"/>
  <c r="J896" i="1" s="1"/>
  <c r="P892" i="1"/>
  <c r="Q892" i="1" s="1"/>
  <c r="S892" i="1" s="1"/>
  <c r="J892" i="1" s="1"/>
  <c r="P875" i="1"/>
  <c r="Q875" i="1" s="1"/>
  <c r="S875" i="1" s="1"/>
  <c r="J875" i="1" s="1"/>
  <c r="P871" i="1"/>
  <c r="Q871" i="1" s="1"/>
  <c r="S871" i="1" s="1"/>
  <c r="J871" i="1" s="1"/>
  <c r="P867" i="1"/>
  <c r="Q867" i="1" s="1"/>
  <c r="S867" i="1" s="1"/>
  <c r="J867" i="1" s="1"/>
  <c r="P863" i="1"/>
  <c r="Q863" i="1" s="1"/>
  <c r="S863" i="1" s="1"/>
  <c r="J863" i="1" s="1"/>
  <c r="P859" i="1"/>
  <c r="Q859" i="1" s="1"/>
  <c r="S859" i="1" s="1"/>
  <c r="J859" i="1" s="1"/>
  <c r="P855" i="1"/>
  <c r="Q855" i="1" s="1"/>
  <c r="S855" i="1" s="1"/>
  <c r="J855" i="1" s="1"/>
  <c r="P849" i="1"/>
  <c r="Q849" i="1" s="1"/>
  <c r="S849" i="1" s="1"/>
  <c r="J849" i="1" s="1"/>
  <c r="P845" i="1"/>
  <c r="Q845" i="1" s="1"/>
  <c r="S845" i="1" s="1"/>
  <c r="J845" i="1" s="1"/>
  <c r="P841" i="1"/>
  <c r="Q841" i="1" s="1"/>
  <c r="S841" i="1" s="1"/>
  <c r="J841" i="1" s="1"/>
  <c r="P835" i="1"/>
  <c r="Q835" i="1" s="1"/>
  <c r="S835" i="1" s="1"/>
  <c r="J835" i="1" s="1"/>
  <c r="P829" i="1"/>
  <c r="Q829" i="1" s="1"/>
  <c r="S829" i="1" s="1"/>
  <c r="J829" i="1" s="1"/>
  <c r="P823" i="1"/>
  <c r="Q823" i="1" s="1"/>
  <c r="S823" i="1" s="1"/>
  <c r="J823" i="1" s="1"/>
  <c r="P819" i="1"/>
  <c r="Q819" i="1" s="1"/>
  <c r="S819" i="1" s="1"/>
  <c r="J819" i="1" s="1"/>
  <c r="P815" i="1"/>
  <c r="Q815" i="1" s="1"/>
  <c r="S815" i="1" s="1"/>
  <c r="J815" i="1" s="1"/>
  <c r="P811" i="1"/>
  <c r="Q811" i="1" s="1"/>
  <c r="S811" i="1" s="1"/>
  <c r="J811" i="1" s="1"/>
  <c r="P807" i="1"/>
  <c r="Q807" i="1" s="1"/>
  <c r="S807" i="1" s="1"/>
  <c r="J807" i="1" s="1"/>
  <c r="P803" i="1"/>
  <c r="Q803" i="1" s="1"/>
  <c r="S803" i="1" s="1"/>
  <c r="J803" i="1" s="1"/>
  <c r="P799" i="1"/>
  <c r="Q799" i="1" s="1"/>
  <c r="S799" i="1" s="1"/>
  <c r="J799" i="1" s="1"/>
  <c r="P795" i="1"/>
  <c r="Q795" i="1" s="1"/>
  <c r="S795" i="1" s="1"/>
  <c r="J795" i="1" s="1"/>
  <c r="P791" i="1"/>
  <c r="Q791" i="1" s="1"/>
  <c r="S791" i="1" s="1"/>
  <c r="J791" i="1" s="1"/>
  <c r="P787" i="1"/>
  <c r="Q787" i="1" s="1"/>
  <c r="S787" i="1" s="1"/>
  <c r="J787" i="1" s="1"/>
  <c r="P783" i="1"/>
  <c r="Q783" i="1" s="1"/>
  <c r="S783" i="1" s="1"/>
  <c r="J783" i="1" s="1"/>
  <c r="P779" i="1"/>
  <c r="Q779" i="1" s="1"/>
  <c r="S779" i="1" s="1"/>
  <c r="J779" i="1" s="1"/>
  <c r="P773" i="1"/>
  <c r="Q773" i="1" s="1"/>
  <c r="S773" i="1" s="1"/>
  <c r="J773" i="1" s="1"/>
  <c r="P767" i="1"/>
  <c r="Q767" i="1" s="1"/>
  <c r="S767" i="1" s="1"/>
  <c r="J767" i="1" s="1"/>
  <c r="P763" i="1"/>
  <c r="Q763" i="1" s="1"/>
  <c r="S763" i="1" s="1"/>
  <c r="J763" i="1" s="1"/>
  <c r="P759" i="1"/>
  <c r="Q759" i="1" s="1"/>
  <c r="S759" i="1" s="1"/>
  <c r="J759" i="1" s="1"/>
  <c r="P733" i="1"/>
  <c r="Q733" i="1" s="1"/>
  <c r="S733" i="1" s="1"/>
  <c r="J733" i="1" s="1"/>
  <c r="P731" i="1"/>
  <c r="Q731" i="1" s="1"/>
  <c r="S731" i="1" s="1"/>
  <c r="J731" i="1" s="1"/>
  <c r="P725" i="1"/>
  <c r="Q725" i="1" s="1"/>
  <c r="S725" i="1" s="1"/>
  <c r="J725" i="1" s="1"/>
  <c r="P722" i="1"/>
  <c r="Q722" i="1" s="1"/>
  <c r="S722" i="1" s="1"/>
  <c r="J722" i="1" s="1"/>
  <c r="P712" i="1"/>
  <c r="Q712" i="1" s="1"/>
  <c r="S712" i="1" s="1"/>
  <c r="J712" i="1" s="1"/>
  <c r="P706" i="1"/>
  <c r="Q706" i="1" s="1"/>
  <c r="S706" i="1" s="1"/>
  <c r="J706" i="1" s="1"/>
  <c r="P696" i="1"/>
  <c r="Q696" i="1" s="1"/>
  <c r="S696" i="1" s="1"/>
  <c r="J696" i="1" s="1"/>
  <c r="P694" i="1"/>
  <c r="Q694" i="1" s="1"/>
  <c r="S694" i="1" s="1"/>
  <c r="J694" i="1" s="1"/>
  <c r="P692" i="1"/>
  <c r="Q692" i="1" s="1"/>
  <c r="S692" i="1" s="1"/>
  <c r="J692" i="1" s="1"/>
  <c r="P690" i="1"/>
  <c r="Q690" i="1" s="1"/>
  <c r="S690" i="1" s="1"/>
  <c r="J690" i="1" s="1"/>
  <c r="P686" i="1"/>
  <c r="Q686" i="1" s="1"/>
  <c r="S686" i="1" s="1"/>
  <c r="J686" i="1" s="1"/>
  <c r="P684" i="1"/>
  <c r="Q684" i="1" s="1"/>
  <c r="S684" i="1" s="1"/>
  <c r="J684" i="1" s="1"/>
  <c r="P682" i="1"/>
  <c r="Q682" i="1" s="1"/>
  <c r="S682" i="1" s="1"/>
  <c r="J682" i="1" s="1"/>
  <c r="P680" i="1"/>
  <c r="Q680" i="1" s="1"/>
  <c r="S680" i="1" s="1"/>
  <c r="J680" i="1" s="1"/>
  <c r="P678" i="1"/>
  <c r="Q678" i="1" s="1"/>
  <c r="S678" i="1" s="1"/>
  <c r="J678" i="1" s="1"/>
  <c r="P675" i="1"/>
  <c r="Q675" i="1" s="1"/>
  <c r="S675" i="1" s="1"/>
  <c r="J675" i="1" s="1"/>
  <c r="P673" i="1"/>
  <c r="Q673" i="1" s="1"/>
  <c r="S673" i="1" s="1"/>
  <c r="J673" i="1" s="1"/>
  <c r="P667" i="1"/>
  <c r="Q667" i="1" s="1"/>
  <c r="S667" i="1" s="1"/>
  <c r="J667" i="1" s="1"/>
  <c r="P653" i="1"/>
  <c r="Q653" i="1" s="1"/>
  <c r="S653" i="1" s="1"/>
  <c r="J653" i="1" s="1"/>
  <c r="P631" i="1"/>
  <c r="Q631" i="1" s="1"/>
  <c r="S631" i="1" s="1"/>
  <c r="J631" i="1" s="1"/>
  <c r="P629" i="1"/>
  <c r="Q629" i="1" s="1"/>
  <c r="S629" i="1" s="1"/>
  <c r="J629" i="1" s="1"/>
  <c r="P627" i="1"/>
  <c r="Q627" i="1" s="1"/>
  <c r="S627" i="1" s="1"/>
  <c r="J627" i="1" s="1"/>
  <c r="P625" i="1"/>
  <c r="Q625" i="1" s="1"/>
  <c r="S625" i="1" s="1"/>
  <c r="J625" i="1" s="1"/>
  <c r="P623" i="1"/>
  <c r="Q623" i="1" s="1"/>
  <c r="S623" i="1" s="1"/>
  <c r="J623" i="1" s="1"/>
  <c r="P621" i="1"/>
  <c r="Q621" i="1" s="1"/>
  <c r="S621" i="1" s="1"/>
  <c r="J621" i="1" s="1"/>
  <c r="P607" i="1"/>
  <c r="Q607" i="1" s="1"/>
  <c r="S607" i="1" s="1"/>
  <c r="J607" i="1" s="1"/>
  <c r="P604" i="1"/>
  <c r="Q604" i="1" s="1"/>
  <c r="S604" i="1" s="1"/>
  <c r="J604" i="1" s="1"/>
  <c r="P601" i="1"/>
  <c r="Q601" i="1" s="1"/>
  <c r="S601" i="1" s="1"/>
  <c r="J601" i="1" s="1"/>
  <c r="P590" i="1"/>
  <c r="Q590" i="1" s="1"/>
  <c r="S590" i="1" s="1"/>
  <c r="J590" i="1" s="1"/>
  <c r="P586" i="1"/>
  <c r="Q586" i="1" s="1"/>
  <c r="S586" i="1" s="1"/>
  <c r="J586" i="1" s="1"/>
  <c r="P546" i="1"/>
  <c r="Q546" i="1" s="1"/>
  <c r="S546" i="1" s="1"/>
  <c r="J546" i="1" s="1"/>
  <c r="P544" i="1"/>
  <c r="Q544" i="1" s="1"/>
  <c r="S544" i="1" s="1"/>
  <c r="J544" i="1" s="1"/>
  <c r="P542" i="1"/>
  <c r="Q542" i="1" s="1"/>
  <c r="S542" i="1" s="1"/>
  <c r="J542" i="1" s="1"/>
  <c r="P528" i="1"/>
  <c r="Q528" i="1" s="1"/>
  <c r="S528" i="1" s="1"/>
  <c r="J528" i="1" s="1"/>
  <c r="P526" i="1"/>
  <c r="Q526" i="1" s="1"/>
  <c r="S526" i="1" s="1"/>
  <c r="J526" i="1" s="1"/>
  <c r="P523" i="1"/>
  <c r="Q523" i="1" s="1"/>
  <c r="S523" i="1" s="1"/>
  <c r="J523" i="1" s="1"/>
  <c r="P507" i="1"/>
  <c r="Q507" i="1" s="1"/>
  <c r="S507" i="1" s="1"/>
  <c r="J507" i="1" s="1"/>
  <c r="P505" i="1"/>
  <c r="Q505" i="1" s="1"/>
  <c r="S505" i="1" s="1"/>
  <c r="J505" i="1" s="1"/>
  <c r="P503" i="1"/>
  <c r="Q503" i="1" s="1"/>
  <c r="S503" i="1" s="1"/>
  <c r="J503" i="1" s="1"/>
  <c r="P501" i="1"/>
  <c r="Q501" i="1" s="1"/>
  <c r="S501" i="1" s="1"/>
  <c r="J501" i="1" s="1"/>
  <c r="P499" i="1"/>
  <c r="Q499" i="1" s="1"/>
  <c r="S499" i="1" s="1"/>
  <c r="J499" i="1" s="1"/>
  <c r="P497" i="1"/>
  <c r="Q497" i="1" s="1"/>
  <c r="S497" i="1" s="1"/>
  <c r="J497" i="1" s="1"/>
  <c r="P495" i="1"/>
  <c r="Q495" i="1" s="1"/>
  <c r="S495" i="1" s="1"/>
  <c r="J495" i="1" s="1"/>
  <c r="P493" i="1"/>
  <c r="Q493" i="1" s="1"/>
  <c r="S493" i="1" s="1"/>
  <c r="J493" i="1" s="1"/>
  <c r="P477" i="1"/>
  <c r="Q477" i="1" s="1"/>
  <c r="S477" i="1" s="1"/>
  <c r="J477" i="1" s="1"/>
  <c r="P475" i="1"/>
  <c r="Q475" i="1" s="1"/>
  <c r="S475" i="1" s="1"/>
  <c r="J475" i="1" s="1"/>
  <c r="P473" i="1"/>
  <c r="Q473" i="1" s="1"/>
  <c r="S473" i="1" s="1"/>
  <c r="J473" i="1" s="1"/>
  <c r="P441" i="1"/>
  <c r="Q441" i="1" s="1"/>
  <c r="S441" i="1" s="1"/>
  <c r="J441" i="1" s="1"/>
  <c r="P381" i="1"/>
  <c r="Q381" i="1" s="1"/>
  <c r="S381" i="1" s="1"/>
  <c r="J381" i="1" s="1"/>
  <c r="P379" i="1"/>
  <c r="Q379" i="1" s="1"/>
  <c r="S379" i="1" s="1"/>
  <c r="J379" i="1" s="1"/>
  <c r="P377" i="1"/>
  <c r="Q377" i="1" s="1"/>
  <c r="S377" i="1" s="1"/>
  <c r="J377" i="1" s="1"/>
  <c r="K737" i="1"/>
  <c r="Y737" i="1"/>
  <c r="K735" i="1"/>
  <c r="Y735" i="1"/>
  <c r="K729" i="1"/>
  <c r="Y729" i="1"/>
  <c r="P375" i="1"/>
  <c r="Q375" i="1" s="1"/>
  <c r="S375" i="1" s="1"/>
  <c r="J375" i="1" s="1"/>
  <c r="P9" i="1"/>
  <c r="Q9" i="1" s="1"/>
  <c r="S9" i="1" s="1"/>
  <c r="V9" i="1" s="1"/>
  <c r="W9" i="1" s="1"/>
  <c r="P366" i="1"/>
  <c r="Q366" i="1" s="1"/>
  <c r="S366" i="1" s="1"/>
  <c r="J366" i="1" s="1"/>
  <c r="P361" i="1"/>
  <c r="Q361" i="1" s="1"/>
  <c r="S361" i="1" s="1"/>
  <c r="J361" i="1" s="1"/>
  <c r="P357" i="1"/>
  <c r="Q357" i="1" s="1"/>
  <c r="S357" i="1" s="1"/>
  <c r="J357" i="1" s="1"/>
  <c r="P353" i="1"/>
  <c r="Q353" i="1" s="1"/>
  <c r="S353" i="1" s="1"/>
  <c r="J353" i="1" s="1"/>
  <c r="P349" i="1"/>
  <c r="Q349" i="1" s="1"/>
  <c r="S349" i="1" s="1"/>
  <c r="J349" i="1" s="1"/>
  <c r="P345" i="1"/>
  <c r="Q345" i="1" s="1"/>
  <c r="S345" i="1" s="1"/>
  <c r="J345" i="1" s="1"/>
  <c r="P341" i="1"/>
  <c r="Q341" i="1" s="1"/>
  <c r="S341" i="1" s="1"/>
  <c r="J341" i="1" s="1"/>
  <c r="P337" i="1"/>
  <c r="Q337" i="1" s="1"/>
  <c r="S337" i="1" s="1"/>
  <c r="J337" i="1" s="1"/>
  <c r="P333" i="1"/>
  <c r="Q333" i="1" s="1"/>
  <c r="S333" i="1" s="1"/>
  <c r="J333" i="1" s="1"/>
  <c r="P329" i="1"/>
  <c r="Q329" i="1" s="1"/>
  <c r="S329" i="1" s="1"/>
  <c r="J329" i="1" s="1"/>
  <c r="P325" i="1"/>
  <c r="Q325" i="1" s="1"/>
  <c r="S325" i="1" s="1"/>
  <c r="J325" i="1" s="1"/>
  <c r="P321" i="1"/>
  <c r="Q321" i="1" s="1"/>
  <c r="S321" i="1" s="1"/>
  <c r="J321" i="1" s="1"/>
  <c r="P317" i="1"/>
  <c r="Q317" i="1" s="1"/>
  <c r="S317" i="1" s="1"/>
  <c r="J317" i="1" s="1"/>
  <c r="P313" i="1"/>
  <c r="Q313" i="1" s="1"/>
  <c r="S313" i="1" s="1"/>
  <c r="J313" i="1" s="1"/>
  <c r="P309" i="1"/>
  <c r="Q309" i="1" s="1"/>
  <c r="S309" i="1" s="1"/>
  <c r="J309" i="1" s="1"/>
  <c r="P305" i="1"/>
  <c r="Q305" i="1" s="1"/>
  <c r="S305" i="1" s="1"/>
  <c r="J305" i="1" s="1"/>
  <c r="P299" i="1"/>
  <c r="Q299" i="1" s="1"/>
  <c r="S299" i="1" s="1"/>
  <c r="J299" i="1" s="1"/>
  <c r="P294" i="1"/>
  <c r="Q294" i="1" s="1"/>
  <c r="S294" i="1" s="1"/>
  <c r="J294" i="1" s="1"/>
  <c r="P290" i="1"/>
  <c r="Q290" i="1" s="1"/>
  <c r="S290" i="1" s="1"/>
  <c r="J290" i="1" s="1"/>
  <c r="P286" i="1"/>
  <c r="Q286" i="1" s="1"/>
  <c r="S286" i="1" s="1"/>
  <c r="J286" i="1" s="1"/>
  <c r="P282" i="1"/>
  <c r="Q282" i="1" s="1"/>
  <c r="S282" i="1" s="1"/>
  <c r="J282" i="1" s="1"/>
  <c r="P275" i="1"/>
  <c r="Q275" i="1" s="1"/>
  <c r="S275" i="1" s="1"/>
  <c r="J275" i="1" s="1"/>
  <c r="P271" i="1"/>
  <c r="Q271" i="1" s="1"/>
  <c r="S271" i="1" s="1"/>
  <c r="J271" i="1" s="1"/>
  <c r="P267" i="1"/>
  <c r="Q267" i="1" s="1"/>
  <c r="S267" i="1" s="1"/>
  <c r="J267" i="1" s="1"/>
  <c r="P261" i="1"/>
  <c r="Q261" i="1" s="1"/>
  <c r="S261" i="1" s="1"/>
  <c r="J261" i="1" s="1"/>
  <c r="P257" i="1"/>
  <c r="Q257" i="1" s="1"/>
  <c r="S257" i="1" s="1"/>
  <c r="J257" i="1" s="1"/>
  <c r="P253" i="1"/>
  <c r="Q253" i="1" s="1"/>
  <c r="S253" i="1" s="1"/>
  <c r="J253" i="1" s="1"/>
  <c r="P249" i="1"/>
  <c r="Q249" i="1" s="1"/>
  <c r="S249" i="1" s="1"/>
  <c r="J249" i="1" s="1"/>
  <c r="P247" i="1"/>
  <c r="Q247" i="1" s="1"/>
  <c r="S247" i="1" s="1"/>
  <c r="J247" i="1" s="1"/>
  <c r="P243" i="1"/>
  <c r="Q243" i="1" s="1"/>
  <c r="S243" i="1" s="1"/>
  <c r="J243" i="1" s="1"/>
  <c r="P238" i="1"/>
  <c r="Q238" i="1" s="1"/>
  <c r="S238" i="1" s="1"/>
  <c r="J238" i="1" s="1"/>
  <c r="P233" i="1"/>
  <c r="Q233" i="1" s="1"/>
  <c r="S233" i="1" s="1"/>
  <c r="J233" i="1" s="1"/>
  <c r="P231" i="1"/>
  <c r="Q231" i="1" s="1"/>
  <c r="S231" i="1" s="1"/>
  <c r="J231" i="1" s="1"/>
  <c r="Y225" i="1"/>
  <c r="K225" i="1"/>
  <c r="P218" i="1"/>
  <c r="Q218" i="1" s="1"/>
  <c r="S218" i="1" s="1"/>
  <c r="J218" i="1" s="1"/>
  <c r="Y215" i="1"/>
  <c r="K215" i="1"/>
  <c r="P210" i="1"/>
  <c r="Q210" i="1" s="1"/>
  <c r="S210" i="1" s="1"/>
  <c r="J210" i="1" s="1"/>
  <c r="Y207" i="1"/>
  <c r="K207" i="1"/>
  <c r="P202" i="1"/>
  <c r="Q202" i="1" s="1"/>
  <c r="S202" i="1" s="1"/>
  <c r="J202" i="1" s="1"/>
  <c r="Y199" i="1"/>
  <c r="K199" i="1"/>
  <c r="P194" i="1"/>
  <c r="Q194" i="1" s="1"/>
  <c r="S194" i="1" s="1"/>
  <c r="J194" i="1" s="1"/>
  <c r="Y191" i="1"/>
  <c r="K191" i="1"/>
  <c r="P186" i="1"/>
  <c r="Q186" i="1" s="1"/>
  <c r="S186" i="1" s="1"/>
  <c r="J186" i="1" s="1"/>
  <c r="Y183" i="1"/>
  <c r="K183" i="1"/>
  <c r="P178" i="1"/>
  <c r="Q178" i="1" s="1"/>
  <c r="S178" i="1" s="1"/>
  <c r="J178" i="1" s="1"/>
  <c r="Y175" i="1"/>
  <c r="K175" i="1"/>
  <c r="Y170" i="1"/>
  <c r="K170" i="1"/>
  <c r="P165" i="1"/>
  <c r="Q165" i="1" s="1"/>
  <c r="S165" i="1" s="1"/>
  <c r="J165" i="1" s="1"/>
  <c r="K163" i="1"/>
  <c r="Y163" i="1"/>
  <c r="P157" i="1"/>
  <c r="Q157" i="1" s="1"/>
  <c r="S157" i="1" s="1"/>
  <c r="J157" i="1" s="1"/>
  <c r="Y155" i="1"/>
  <c r="K155" i="1"/>
  <c r="P150" i="1"/>
  <c r="Q150" i="1" s="1"/>
  <c r="S150" i="1" s="1"/>
  <c r="J150" i="1" s="1"/>
  <c r="P142" i="1"/>
  <c r="Q142" i="1" s="1"/>
  <c r="S142" i="1" s="1"/>
  <c r="J142" i="1" s="1"/>
  <c r="Y139" i="1"/>
  <c r="K139" i="1"/>
  <c r="P133" i="1"/>
  <c r="Q133" i="1" s="1"/>
  <c r="S133" i="1" s="1"/>
  <c r="J133" i="1" s="1"/>
  <c r="P128" i="1"/>
  <c r="Q128" i="1" s="1"/>
  <c r="S128" i="1" s="1"/>
  <c r="J128" i="1" s="1"/>
  <c r="Y123" i="1"/>
  <c r="K123" i="1"/>
  <c r="P118" i="1"/>
  <c r="Q118" i="1" s="1"/>
  <c r="S118" i="1" s="1"/>
  <c r="J118" i="1" s="1"/>
  <c r="Y114" i="1"/>
  <c r="K114" i="1"/>
  <c r="P109" i="1"/>
  <c r="Q109" i="1" s="1"/>
  <c r="S109" i="1" s="1"/>
  <c r="J109" i="1" s="1"/>
  <c r="K107" i="1"/>
  <c r="Y107" i="1"/>
  <c r="P105" i="1"/>
  <c r="Q105" i="1" s="1"/>
  <c r="S105" i="1" s="1"/>
  <c r="J105" i="1" s="1"/>
  <c r="Y102" i="1"/>
  <c r="K102" i="1"/>
  <c r="P97" i="1"/>
  <c r="Q97" i="1" s="1"/>
  <c r="S97" i="1" s="1"/>
  <c r="J97" i="1" s="1"/>
  <c r="Y94" i="1"/>
  <c r="K94" i="1"/>
  <c r="P89" i="1"/>
  <c r="Q89" i="1" s="1"/>
  <c r="S89" i="1" s="1"/>
  <c r="J89" i="1" s="1"/>
  <c r="P84" i="1"/>
  <c r="Q84" i="1" s="1"/>
  <c r="S84" i="1" s="1"/>
  <c r="J84" i="1" s="1"/>
  <c r="Y81" i="1"/>
  <c r="K81" i="1"/>
  <c r="P76" i="1"/>
  <c r="Q76" i="1" s="1"/>
  <c r="S76" i="1" s="1"/>
  <c r="J76" i="1" s="1"/>
  <c r="Y73" i="1"/>
  <c r="K73" i="1"/>
  <c r="P68" i="1"/>
  <c r="Q68" i="1" s="1"/>
  <c r="S68" i="1" s="1"/>
  <c r="J68" i="1" s="1"/>
  <c r="Y65" i="1"/>
  <c r="K65" i="1"/>
  <c r="P60" i="1"/>
  <c r="Q60" i="1" s="1"/>
  <c r="S60" i="1" s="1"/>
  <c r="J60" i="1" s="1"/>
  <c r="Y57" i="1"/>
  <c r="K57" i="1"/>
  <c r="P52" i="1"/>
  <c r="Q52" i="1" s="1"/>
  <c r="S52" i="1" s="1"/>
  <c r="J52" i="1" s="1"/>
  <c r="Y49" i="1"/>
  <c r="K49" i="1"/>
  <c r="P44" i="1"/>
  <c r="Q44" i="1" s="1"/>
  <c r="S44" i="1" s="1"/>
  <c r="J44" i="1" s="1"/>
  <c r="Y41" i="1"/>
  <c r="K41" i="1"/>
  <c r="P32" i="1"/>
  <c r="Q32" i="1" s="1"/>
  <c r="S32" i="1" s="1"/>
  <c r="J32" i="1" s="1"/>
  <c r="Y29" i="1"/>
  <c r="K29" i="1"/>
  <c r="P26" i="1"/>
  <c r="Q26" i="1" s="1"/>
  <c r="S26" i="1" s="1"/>
  <c r="J26" i="1" s="1"/>
  <c r="Y23" i="1"/>
  <c r="K23" i="1"/>
  <c r="P18" i="1"/>
  <c r="Q18" i="1" s="1"/>
  <c r="S18" i="1" s="1"/>
  <c r="J18" i="1" s="1"/>
  <c r="Y15" i="1"/>
  <c r="K15" i="1"/>
  <c r="P10" i="1"/>
  <c r="Q10" i="1" s="1"/>
  <c r="S10" i="1" s="1"/>
  <c r="J10" i="1" s="1"/>
  <c r="P226" i="1"/>
  <c r="Q226" i="1" s="1"/>
  <c r="S226" i="1" s="1"/>
  <c r="J226" i="1" s="1"/>
  <c r="P220" i="1"/>
  <c r="Q220" i="1" s="1"/>
  <c r="S220" i="1" s="1"/>
  <c r="J220" i="1" s="1"/>
  <c r="P216" i="1"/>
  <c r="Q216" i="1" s="1"/>
  <c r="S216" i="1" s="1"/>
  <c r="J216" i="1" s="1"/>
  <c r="P212" i="1"/>
  <c r="Q212" i="1" s="1"/>
  <c r="S212" i="1" s="1"/>
  <c r="J212" i="1" s="1"/>
  <c r="P208" i="1"/>
  <c r="Q208" i="1" s="1"/>
  <c r="S208" i="1" s="1"/>
  <c r="J208" i="1" s="1"/>
  <c r="P204" i="1"/>
  <c r="Q204" i="1" s="1"/>
  <c r="S204" i="1" s="1"/>
  <c r="J204" i="1" s="1"/>
  <c r="P200" i="1"/>
  <c r="Q200" i="1" s="1"/>
  <c r="S200" i="1" s="1"/>
  <c r="J200" i="1" s="1"/>
  <c r="P196" i="1"/>
  <c r="Q196" i="1" s="1"/>
  <c r="S196" i="1" s="1"/>
  <c r="J196" i="1" s="1"/>
  <c r="P192" i="1"/>
  <c r="Q192" i="1" s="1"/>
  <c r="S192" i="1" s="1"/>
  <c r="J192" i="1" s="1"/>
  <c r="P188" i="1"/>
  <c r="Q188" i="1" s="1"/>
  <c r="S188" i="1" s="1"/>
  <c r="J188" i="1" s="1"/>
  <c r="P184" i="1"/>
  <c r="Q184" i="1" s="1"/>
  <c r="S184" i="1" s="1"/>
  <c r="J184" i="1" s="1"/>
  <c r="P180" i="1"/>
  <c r="Q180" i="1" s="1"/>
  <c r="S180" i="1" s="1"/>
  <c r="J180" i="1" s="1"/>
  <c r="P176" i="1"/>
  <c r="Q176" i="1" s="1"/>
  <c r="S176" i="1" s="1"/>
  <c r="J176" i="1" s="1"/>
  <c r="P172" i="1"/>
  <c r="Q172" i="1" s="1"/>
  <c r="S172" i="1" s="1"/>
  <c r="J172" i="1" s="1"/>
  <c r="P167" i="1"/>
  <c r="Q167" i="1" s="1"/>
  <c r="S167" i="1" s="1"/>
  <c r="J167" i="1" s="1"/>
  <c r="P161" i="1"/>
  <c r="Q161" i="1" s="1"/>
  <c r="S161" i="1" s="1"/>
  <c r="J161" i="1" s="1"/>
  <c r="P159" i="1"/>
  <c r="Q159" i="1" s="1"/>
  <c r="S159" i="1" s="1"/>
  <c r="J159" i="1" s="1"/>
  <c r="P152" i="1"/>
  <c r="Q152" i="1" s="1"/>
  <c r="S152" i="1" s="1"/>
  <c r="J152" i="1" s="1"/>
  <c r="P144" i="1"/>
  <c r="Q144" i="1" s="1"/>
  <c r="S144" i="1" s="1"/>
  <c r="J144" i="1" s="1"/>
  <c r="P140" i="1"/>
  <c r="Q140" i="1" s="1"/>
  <c r="S140" i="1" s="1"/>
  <c r="J140" i="1" s="1"/>
  <c r="P136" i="1"/>
  <c r="Q136" i="1" s="1"/>
  <c r="S136" i="1" s="1"/>
  <c r="J136" i="1" s="1"/>
  <c r="P111" i="1"/>
  <c r="Q111" i="1" s="1"/>
  <c r="S111" i="1" s="1"/>
  <c r="J111" i="1" s="1"/>
  <c r="Y92" i="1"/>
  <c r="K92" i="1"/>
  <c r="P34" i="1"/>
  <c r="Q34" i="1" s="1"/>
  <c r="S34" i="1" s="1"/>
  <c r="J34" i="1" s="1"/>
  <c r="P30" i="1"/>
  <c r="Q30" i="1" s="1"/>
  <c r="S30" i="1" s="1"/>
  <c r="J30" i="1" s="1"/>
  <c r="P24" i="1"/>
  <c r="Q24" i="1" s="1"/>
  <c r="S24" i="1" s="1"/>
  <c r="J24" i="1" s="1"/>
  <c r="P20" i="1"/>
  <c r="Q20" i="1" s="1"/>
  <c r="S20" i="1" s="1"/>
  <c r="J20" i="1" s="1"/>
  <c r="P16" i="1"/>
  <c r="Q16" i="1" s="1"/>
  <c r="S16" i="1" s="1"/>
  <c r="J16" i="1" s="1"/>
  <c r="P12" i="1"/>
  <c r="Q12" i="1" s="1"/>
  <c r="S12" i="1" s="1"/>
  <c r="J12" i="1" s="1"/>
  <c r="K1544" i="1"/>
  <c r="Y1544" i="1"/>
  <c r="K1540" i="1"/>
  <c r="Y1540" i="1"/>
  <c r="K1536" i="1"/>
  <c r="Y1536" i="1"/>
  <c r="K1527" i="1"/>
  <c r="Y1527" i="1"/>
  <c r="K1523" i="1"/>
  <c r="Y1523" i="1"/>
  <c r="K1519" i="1"/>
  <c r="Y1519" i="1"/>
  <c r="K1515" i="1"/>
  <c r="Y1515" i="1"/>
  <c r="K1511" i="1"/>
  <c r="Y1511" i="1"/>
  <c r="K1507" i="1"/>
  <c r="Y1507" i="1"/>
  <c r="K1503" i="1"/>
  <c r="Y1503" i="1"/>
  <c r="K1499" i="1"/>
  <c r="Y1499" i="1"/>
  <c r="K1497" i="1"/>
  <c r="Y1497" i="1"/>
  <c r="K1478" i="1"/>
  <c r="Y1478" i="1"/>
  <c r="K1467" i="1"/>
  <c r="Y1467" i="1"/>
  <c r="K1463" i="1"/>
  <c r="Y1463" i="1"/>
  <c r="K1461" i="1"/>
  <c r="Y1461" i="1"/>
  <c r="K1457" i="1"/>
  <c r="Y1457" i="1"/>
  <c r="K1455" i="1"/>
  <c r="Y1455" i="1"/>
  <c r="K1451" i="1"/>
  <c r="Y1451" i="1"/>
  <c r="K1449" i="1"/>
  <c r="Y1449" i="1"/>
  <c r="K1427" i="1"/>
  <c r="Y1427" i="1"/>
  <c r="K1423" i="1"/>
  <c r="Y1423" i="1"/>
  <c r="K1385" i="1"/>
  <c r="Y1385" i="1"/>
  <c r="K1381" i="1"/>
  <c r="Y1381" i="1"/>
  <c r="K1377" i="1"/>
  <c r="Y1377" i="1"/>
  <c r="K1373" i="1"/>
  <c r="Y1373" i="1"/>
  <c r="K1369" i="1"/>
  <c r="Y1369" i="1"/>
  <c r="K1365" i="1"/>
  <c r="Y1365" i="1"/>
  <c r="K1361" i="1"/>
  <c r="Y1361" i="1"/>
  <c r="K1357" i="1"/>
  <c r="Y1357" i="1"/>
  <c r="K1354" i="1"/>
  <c r="Y1354" i="1"/>
  <c r="K1351" i="1"/>
  <c r="Y1351" i="1"/>
  <c r="K1347" i="1"/>
  <c r="Y1347" i="1"/>
  <c r="K1343" i="1"/>
  <c r="Y1343" i="1"/>
  <c r="K1339" i="1"/>
  <c r="Y1339" i="1"/>
  <c r="K1335" i="1"/>
  <c r="Y1335" i="1"/>
  <c r="K1331" i="1"/>
  <c r="Y1331" i="1"/>
  <c r="K1327" i="1"/>
  <c r="Y1327" i="1"/>
  <c r="K1323" i="1"/>
  <c r="Y1323" i="1"/>
  <c r="K1319" i="1"/>
  <c r="Y1319" i="1"/>
  <c r="K1315" i="1"/>
  <c r="Y1315" i="1"/>
  <c r="K1308" i="1"/>
  <c r="Y1308" i="1"/>
  <c r="K1304" i="1"/>
  <c r="Y1304" i="1"/>
  <c r="K1300" i="1"/>
  <c r="Y1300" i="1"/>
  <c r="K1296" i="1"/>
  <c r="Y1296" i="1"/>
  <c r="K1292" i="1"/>
  <c r="Y1292" i="1"/>
  <c r="K1288" i="1"/>
  <c r="Y1288" i="1"/>
  <c r="K1284" i="1"/>
  <c r="Y1284" i="1"/>
  <c r="K1281" i="1"/>
  <c r="Y1281" i="1"/>
  <c r="K1277" i="1"/>
  <c r="Y1277" i="1"/>
  <c r="K1273" i="1"/>
  <c r="Y1273" i="1"/>
  <c r="K1268" i="1"/>
  <c r="Y1268" i="1"/>
  <c r="K1264" i="1"/>
  <c r="Y1264" i="1"/>
  <c r="K1260" i="1"/>
  <c r="Y1260" i="1"/>
  <c r="K1256" i="1"/>
  <c r="Y1256" i="1"/>
  <c r="K1252" i="1"/>
  <c r="Y1252" i="1"/>
  <c r="K1248" i="1"/>
  <c r="Y1248" i="1"/>
  <c r="K971" i="1"/>
  <c r="Y971" i="1"/>
  <c r="K967" i="1"/>
  <c r="Y967" i="1"/>
  <c r="K963" i="1"/>
  <c r="Y963" i="1"/>
  <c r="K960" i="1"/>
  <c r="Y960" i="1"/>
  <c r="K956" i="1"/>
  <c r="Y956" i="1"/>
  <c r="K952" i="1"/>
  <c r="Y952" i="1"/>
  <c r="K948" i="1"/>
  <c r="Y948" i="1"/>
  <c r="K944" i="1"/>
  <c r="Y944" i="1"/>
  <c r="K940" i="1"/>
  <c r="Y940" i="1"/>
  <c r="K936" i="1"/>
  <c r="Y936" i="1"/>
  <c r="K932" i="1"/>
  <c r="Y932" i="1"/>
  <c r="K928" i="1"/>
  <c r="Y928" i="1"/>
  <c r="K924" i="1"/>
  <c r="Y924" i="1"/>
  <c r="K920" i="1"/>
  <c r="Y920" i="1"/>
  <c r="K916" i="1"/>
  <c r="Y916" i="1"/>
  <c r="K913" i="1"/>
  <c r="Y913" i="1"/>
  <c r="K907" i="1"/>
  <c r="Y907" i="1"/>
  <c r="K903" i="1"/>
  <c r="Y903" i="1"/>
  <c r="K899" i="1"/>
  <c r="Y899" i="1"/>
  <c r="Y895" i="1"/>
  <c r="K895" i="1"/>
  <c r="K888" i="1"/>
  <c r="Y888" i="1"/>
  <c r="P886" i="1"/>
  <c r="Q886" i="1" s="1"/>
  <c r="S886" i="1" s="1"/>
  <c r="J886" i="1" s="1"/>
  <c r="Y883" i="1"/>
  <c r="K883" i="1"/>
  <c r="P884" i="1"/>
  <c r="Q884" i="1" s="1"/>
  <c r="S884" i="1" s="1"/>
  <c r="J884" i="1" s="1"/>
  <c r="P880" i="1"/>
  <c r="Q880" i="1" s="1"/>
  <c r="S880" i="1" s="1"/>
  <c r="J880" i="1" s="1"/>
  <c r="P873" i="1"/>
  <c r="Q873" i="1" s="1"/>
  <c r="S873" i="1" s="1"/>
  <c r="J873" i="1" s="1"/>
  <c r="P869" i="1"/>
  <c r="Q869" i="1" s="1"/>
  <c r="S869" i="1" s="1"/>
  <c r="J869" i="1" s="1"/>
  <c r="P865" i="1"/>
  <c r="Q865" i="1" s="1"/>
  <c r="S865" i="1" s="1"/>
  <c r="J865" i="1" s="1"/>
  <c r="P861" i="1"/>
  <c r="Q861" i="1" s="1"/>
  <c r="S861" i="1" s="1"/>
  <c r="J861" i="1" s="1"/>
  <c r="P857" i="1"/>
  <c r="Q857" i="1" s="1"/>
  <c r="S857" i="1" s="1"/>
  <c r="J857" i="1" s="1"/>
  <c r="P853" i="1"/>
  <c r="Q853" i="1" s="1"/>
  <c r="S853" i="1" s="1"/>
  <c r="J853" i="1" s="1"/>
  <c r="P847" i="1"/>
  <c r="Q847" i="1" s="1"/>
  <c r="S847" i="1" s="1"/>
  <c r="J847" i="1" s="1"/>
  <c r="P843" i="1"/>
  <c r="Q843" i="1" s="1"/>
  <c r="S843" i="1" s="1"/>
  <c r="J843" i="1" s="1"/>
  <c r="P839" i="1"/>
  <c r="Q839" i="1" s="1"/>
  <c r="S839" i="1" s="1"/>
  <c r="J839" i="1" s="1"/>
  <c r="P831" i="1"/>
  <c r="Q831" i="1" s="1"/>
  <c r="S831" i="1" s="1"/>
  <c r="J831" i="1" s="1"/>
  <c r="P825" i="1"/>
  <c r="Q825" i="1" s="1"/>
  <c r="S825" i="1" s="1"/>
  <c r="J825" i="1" s="1"/>
  <c r="P821" i="1"/>
  <c r="Q821" i="1" s="1"/>
  <c r="S821" i="1" s="1"/>
  <c r="J821" i="1" s="1"/>
  <c r="P817" i="1"/>
  <c r="Q817" i="1" s="1"/>
  <c r="S817" i="1" s="1"/>
  <c r="J817" i="1" s="1"/>
  <c r="P813" i="1"/>
  <c r="Q813" i="1" s="1"/>
  <c r="S813" i="1" s="1"/>
  <c r="J813" i="1" s="1"/>
  <c r="P809" i="1"/>
  <c r="Q809" i="1" s="1"/>
  <c r="S809" i="1" s="1"/>
  <c r="J809" i="1" s="1"/>
  <c r="P805" i="1"/>
  <c r="Q805" i="1" s="1"/>
  <c r="S805" i="1" s="1"/>
  <c r="J805" i="1" s="1"/>
  <c r="P801" i="1"/>
  <c r="Q801" i="1" s="1"/>
  <c r="S801" i="1" s="1"/>
  <c r="J801" i="1" s="1"/>
  <c r="P797" i="1"/>
  <c r="Q797" i="1" s="1"/>
  <c r="S797" i="1" s="1"/>
  <c r="J797" i="1" s="1"/>
  <c r="P793" i="1"/>
  <c r="Q793" i="1" s="1"/>
  <c r="S793" i="1" s="1"/>
  <c r="J793" i="1" s="1"/>
  <c r="P789" i="1"/>
  <c r="Q789" i="1" s="1"/>
  <c r="S789" i="1" s="1"/>
  <c r="J789" i="1" s="1"/>
  <c r="P785" i="1"/>
  <c r="Q785" i="1" s="1"/>
  <c r="S785" i="1" s="1"/>
  <c r="J785" i="1" s="1"/>
  <c r="P781" i="1"/>
  <c r="Q781" i="1" s="1"/>
  <c r="S781" i="1" s="1"/>
  <c r="J781" i="1" s="1"/>
  <c r="P775" i="1"/>
  <c r="Q775" i="1" s="1"/>
  <c r="S775" i="1" s="1"/>
  <c r="J775" i="1" s="1"/>
  <c r="P769" i="1"/>
  <c r="Q769" i="1" s="1"/>
  <c r="S769" i="1" s="1"/>
  <c r="J769" i="1" s="1"/>
  <c r="P765" i="1"/>
  <c r="Q765" i="1" s="1"/>
  <c r="S765" i="1" s="1"/>
  <c r="J765" i="1" s="1"/>
  <c r="P761" i="1"/>
  <c r="Q761" i="1" s="1"/>
  <c r="S761" i="1" s="1"/>
  <c r="J761" i="1" s="1"/>
  <c r="P720" i="1"/>
  <c r="Q720" i="1" s="1"/>
  <c r="S720" i="1" s="1"/>
  <c r="J720" i="1" s="1"/>
  <c r="P718" i="1"/>
  <c r="Q718" i="1" s="1"/>
  <c r="S718" i="1" s="1"/>
  <c r="J718" i="1" s="1"/>
  <c r="P716" i="1"/>
  <c r="Q716" i="1" s="1"/>
  <c r="S716" i="1" s="1"/>
  <c r="J716" i="1" s="1"/>
  <c r="P714" i="1"/>
  <c r="Q714" i="1" s="1"/>
  <c r="S714" i="1" s="1"/>
  <c r="J714" i="1" s="1"/>
  <c r="P710" i="1"/>
  <c r="Q710" i="1" s="1"/>
  <c r="S710" i="1" s="1"/>
  <c r="J710" i="1" s="1"/>
  <c r="P704" i="1"/>
  <c r="Q704" i="1" s="1"/>
  <c r="S704" i="1" s="1"/>
  <c r="J704" i="1" s="1"/>
  <c r="P702" i="1"/>
  <c r="Q702" i="1" s="1"/>
  <c r="S702" i="1" s="1"/>
  <c r="J702" i="1" s="1"/>
  <c r="P698" i="1"/>
  <c r="Q698" i="1" s="1"/>
  <c r="S698" i="1" s="1"/>
  <c r="J698" i="1" s="1"/>
  <c r="P671" i="1"/>
  <c r="Q671" i="1" s="1"/>
  <c r="S671" i="1" s="1"/>
  <c r="J671" i="1" s="1"/>
  <c r="P669" i="1"/>
  <c r="Q669" i="1" s="1"/>
  <c r="S669" i="1" s="1"/>
  <c r="J669" i="1" s="1"/>
  <c r="P663" i="1"/>
  <c r="Q663" i="1" s="1"/>
  <c r="S663" i="1" s="1"/>
  <c r="J663" i="1" s="1"/>
  <c r="P661" i="1"/>
  <c r="Q661" i="1" s="1"/>
  <c r="S661" i="1" s="1"/>
  <c r="J661" i="1" s="1"/>
  <c r="P657" i="1"/>
  <c r="Q657" i="1" s="1"/>
  <c r="S657" i="1" s="1"/>
  <c r="J657" i="1" s="1"/>
  <c r="P651" i="1"/>
  <c r="Q651" i="1" s="1"/>
  <c r="S651" i="1" s="1"/>
  <c r="J651" i="1" s="1"/>
  <c r="P649" i="1"/>
  <c r="Q649" i="1" s="1"/>
  <c r="S649" i="1" s="1"/>
  <c r="J649" i="1" s="1"/>
  <c r="P645" i="1"/>
  <c r="Q645" i="1" s="1"/>
  <c r="S645" i="1" s="1"/>
  <c r="J645" i="1" s="1"/>
  <c r="P643" i="1"/>
  <c r="Q643" i="1" s="1"/>
  <c r="S643" i="1" s="1"/>
  <c r="J643" i="1" s="1"/>
  <c r="P641" i="1"/>
  <c r="Q641" i="1" s="1"/>
  <c r="S641" i="1" s="1"/>
  <c r="J641" i="1" s="1"/>
  <c r="P639" i="1"/>
  <c r="Q639" i="1" s="1"/>
  <c r="S639" i="1" s="1"/>
  <c r="J639" i="1" s="1"/>
  <c r="P605" i="1"/>
  <c r="Q605" i="1" s="1"/>
  <c r="S605" i="1" s="1"/>
  <c r="J605" i="1" s="1"/>
  <c r="P602" i="1"/>
  <c r="Q602" i="1" s="1"/>
  <c r="S602" i="1" s="1"/>
  <c r="J602" i="1" s="1"/>
  <c r="P595" i="1"/>
  <c r="Q595" i="1" s="1"/>
  <c r="S595" i="1" s="1"/>
  <c r="J595" i="1" s="1"/>
  <c r="P552" i="1"/>
  <c r="Q552" i="1" s="1"/>
  <c r="S552" i="1" s="1"/>
  <c r="J552" i="1" s="1"/>
  <c r="P550" i="1"/>
  <c r="Q550" i="1" s="1"/>
  <c r="S550" i="1" s="1"/>
  <c r="J550" i="1" s="1"/>
  <c r="P548" i="1"/>
  <c r="Q548" i="1" s="1"/>
  <c r="S548" i="1" s="1"/>
  <c r="J548" i="1" s="1"/>
  <c r="P536" i="1"/>
  <c r="Q536" i="1" s="1"/>
  <c r="S536" i="1" s="1"/>
  <c r="J536" i="1" s="1"/>
  <c r="P534" i="1"/>
  <c r="Q534" i="1" s="1"/>
  <c r="S534" i="1" s="1"/>
  <c r="J534" i="1" s="1"/>
  <c r="P532" i="1"/>
  <c r="Q532" i="1" s="1"/>
  <c r="S532" i="1" s="1"/>
  <c r="J532" i="1" s="1"/>
  <c r="P530" i="1"/>
  <c r="Q530" i="1" s="1"/>
  <c r="S530" i="1" s="1"/>
  <c r="J530" i="1" s="1"/>
  <c r="P516" i="1"/>
  <c r="Q516" i="1" s="1"/>
  <c r="S516" i="1" s="1"/>
  <c r="J516" i="1" s="1"/>
  <c r="P514" i="1"/>
  <c r="Q514" i="1" s="1"/>
  <c r="S514" i="1" s="1"/>
  <c r="J514" i="1" s="1"/>
  <c r="P512" i="1"/>
  <c r="Q512" i="1" s="1"/>
  <c r="S512" i="1" s="1"/>
  <c r="J512" i="1" s="1"/>
  <c r="P510" i="1"/>
  <c r="Q510" i="1" s="1"/>
  <c r="S510" i="1" s="1"/>
  <c r="J510" i="1" s="1"/>
  <c r="P508" i="1"/>
  <c r="Q508" i="1" s="1"/>
  <c r="S508" i="1" s="1"/>
  <c r="J508" i="1" s="1"/>
  <c r="P506" i="1"/>
  <c r="Q506" i="1" s="1"/>
  <c r="S506" i="1" s="1"/>
  <c r="J506" i="1" s="1"/>
  <c r="P504" i="1"/>
  <c r="Q504" i="1" s="1"/>
  <c r="S504" i="1" s="1"/>
  <c r="J504" i="1" s="1"/>
  <c r="P502" i="1"/>
  <c r="Q502" i="1" s="1"/>
  <c r="S502" i="1" s="1"/>
  <c r="J502" i="1" s="1"/>
  <c r="P500" i="1"/>
  <c r="Q500" i="1" s="1"/>
  <c r="S500" i="1" s="1"/>
  <c r="J500" i="1" s="1"/>
  <c r="P498" i="1"/>
  <c r="Q498" i="1" s="1"/>
  <c r="S498" i="1" s="1"/>
  <c r="J498" i="1" s="1"/>
  <c r="P496" i="1"/>
  <c r="Q496" i="1" s="1"/>
  <c r="S496" i="1" s="1"/>
  <c r="J496" i="1" s="1"/>
  <c r="P489" i="1"/>
  <c r="Q489" i="1" s="1"/>
  <c r="S489" i="1" s="1"/>
  <c r="J489" i="1" s="1"/>
  <c r="P476" i="1"/>
  <c r="Q476" i="1" s="1"/>
  <c r="S476" i="1" s="1"/>
  <c r="J476" i="1" s="1"/>
  <c r="P474" i="1"/>
  <c r="Q474" i="1" s="1"/>
  <c r="S474" i="1" s="1"/>
  <c r="J474" i="1" s="1"/>
  <c r="P458" i="1"/>
  <c r="Q458" i="1" s="1"/>
  <c r="S458" i="1" s="1"/>
  <c r="J458" i="1" s="1"/>
  <c r="P434" i="1"/>
  <c r="Q434" i="1" s="1"/>
  <c r="S434" i="1" s="1"/>
  <c r="J434" i="1" s="1"/>
  <c r="P412" i="1"/>
  <c r="Q412" i="1" s="1"/>
  <c r="S412" i="1" s="1"/>
  <c r="J412" i="1" s="1"/>
  <c r="P410" i="1"/>
  <c r="Q410" i="1" s="1"/>
  <c r="S410" i="1" s="1"/>
  <c r="J410" i="1" s="1"/>
  <c r="P408" i="1"/>
  <c r="Q408" i="1" s="1"/>
  <c r="S408" i="1" s="1"/>
  <c r="J408" i="1" s="1"/>
  <c r="P380" i="1"/>
  <c r="Q380" i="1" s="1"/>
  <c r="S380" i="1" s="1"/>
  <c r="J380" i="1" s="1"/>
  <c r="P378" i="1"/>
  <c r="Q378" i="1" s="1"/>
  <c r="S378" i="1" s="1"/>
  <c r="J378" i="1" s="1"/>
  <c r="P376" i="1"/>
  <c r="Q376" i="1" s="1"/>
  <c r="S376" i="1" s="1"/>
  <c r="J376" i="1" s="1"/>
  <c r="Y494" i="1"/>
  <c r="K494" i="1"/>
  <c r="Y492" i="1"/>
  <c r="K492" i="1"/>
  <c r="Y490" i="1"/>
  <c r="K490" i="1"/>
  <c r="Y486" i="1"/>
  <c r="K486" i="1"/>
  <c r="Y484" i="1"/>
  <c r="K484" i="1"/>
  <c r="Y442" i="1"/>
  <c r="K442" i="1"/>
  <c r="Y411" i="1"/>
  <c r="K411" i="1"/>
  <c r="Y409" i="1"/>
  <c r="K409" i="1"/>
  <c r="Y407" i="1"/>
  <c r="K407" i="1"/>
  <c r="Y406" i="1"/>
  <c r="K406" i="1"/>
  <c r="Y405" i="1"/>
  <c r="K405" i="1"/>
  <c r="Y404" i="1"/>
  <c r="K404" i="1"/>
  <c r="Y403" i="1"/>
  <c r="K403" i="1"/>
  <c r="Y401" i="1"/>
  <c r="K401" i="1"/>
  <c r="Y400" i="1"/>
  <c r="K400" i="1"/>
  <c r="Y399" i="1"/>
  <c r="K399" i="1"/>
  <c r="Y398" i="1"/>
  <c r="K398" i="1"/>
  <c r="Y397" i="1"/>
  <c r="K397" i="1"/>
  <c r="Y396" i="1"/>
  <c r="K396" i="1"/>
  <c r="Y395" i="1"/>
  <c r="K395" i="1"/>
  <c r="Y394" i="1"/>
  <c r="K394" i="1"/>
  <c r="Y393" i="1"/>
  <c r="K393" i="1"/>
  <c r="Y392" i="1"/>
  <c r="K392" i="1"/>
  <c r="Y391" i="1"/>
  <c r="K391" i="1"/>
  <c r="Y390" i="1"/>
  <c r="K390" i="1"/>
  <c r="Y389" i="1"/>
  <c r="K389" i="1"/>
  <c r="Y388" i="1"/>
  <c r="K388" i="1"/>
  <c r="Y387" i="1"/>
  <c r="K387" i="1"/>
  <c r="Y386" i="1"/>
  <c r="K386" i="1"/>
  <c r="Y385" i="1"/>
  <c r="K385" i="1"/>
  <c r="Y384" i="1"/>
  <c r="K384" i="1"/>
  <c r="Y383" i="1"/>
  <c r="K383" i="1"/>
  <c r="K757" i="1"/>
  <c r="Y757" i="1"/>
  <c r="K755" i="1"/>
  <c r="Y755" i="1"/>
  <c r="K753" i="1"/>
  <c r="Y753" i="1"/>
  <c r="K751" i="1"/>
  <c r="Y751" i="1"/>
  <c r="K748" i="1"/>
  <c r="Y748" i="1"/>
  <c r="K743" i="1"/>
  <c r="Y743" i="1"/>
  <c r="K741" i="1"/>
  <c r="Y741" i="1"/>
  <c r="K739" i="1"/>
  <c r="Y739" i="1"/>
  <c r="K727" i="1"/>
  <c r="Y727" i="1"/>
  <c r="K584" i="1"/>
  <c r="Y584" i="1"/>
  <c r="K582" i="1"/>
  <c r="Y582" i="1"/>
  <c r="K580" i="1"/>
  <c r="Y580" i="1"/>
  <c r="K578" i="1"/>
  <c r="Y578" i="1"/>
  <c r="K576" i="1"/>
  <c r="Y576" i="1"/>
  <c r="K574" i="1"/>
  <c r="Y574" i="1"/>
  <c r="K572" i="1"/>
  <c r="Y572" i="1"/>
  <c r="K570" i="1"/>
  <c r="Y570" i="1"/>
  <c r="K568" i="1"/>
  <c r="Y568" i="1"/>
  <c r="K566" i="1"/>
  <c r="Y566" i="1"/>
  <c r="K564" i="1"/>
  <c r="Y564" i="1"/>
  <c r="K562" i="1"/>
  <c r="Y562" i="1"/>
  <c r="K560" i="1"/>
  <c r="Y560" i="1"/>
  <c r="K554" i="1"/>
  <c r="Y554" i="1"/>
  <c r="K521" i="1"/>
  <c r="Y521" i="1"/>
  <c r="K491" i="1"/>
  <c r="Y491" i="1"/>
  <c r="P369" i="1"/>
  <c r="Q369" i="1" s="1"/>
  <c r="S369" i="1" s="1"/>
  <c r="J369" i="1" s="1"/>
  <c r="P363" i="1"/>
  <c r="Q363" i="1" s="1"/>
  <c r="S363" i="1" s="1"/>
  <c r="J363" i="1" s="1"/>
  <c r="P359" i="1"/>
  <c r="Q359" i="1" s="1"/>
  <c r="S359" i="1" s="1"/>
  <c r="J359" i="1" s="1"/>
  <c r="P355" i="1"/>
  <c r="Q355" i="1" s="1"/>
  <c r="S355" i="1" s="1"/>
  <c r="J355" i="1" s="1"/>
  <c r="P351" i="1"/>
  <c r="Q351" i="1" s="1"/>
  <c r="S351" i="1" s="1"/>
  <c r="J351" i="1" s="1"/>
  <c r="P347" i="1"/>
  <c r="Q347" i="1" s="1"/>
  <c r="S347" i="1" s="1"/>
  <c r="J347" i="1" s="1"/>
  <c r="P343" i="1"/>
  <c r="Q343" i="1" s="1"/>
  <c r="S343" i="1" s="1"/>
  <c r="J343" i="1" s="1"/>
  <c r="P339" i="1"/>
  <c r="Q339" i="1" s="1"/>
  <c r="S339" i="1" s="1"/>
  <c r="J339" i="1" s="1"/>
  <c r="P335" i="1"/>
  <c r="Q335" i="1" s="1"/>
  <c r="S335" i="1" s="1"/>
  <c r="J335" i="1" s="1"/>
  <c r="P331" i="1"/>
  <c r="Q331" i="1" s="1"/>
  <c r="S331" i="1" s="1"/>
  <c r="J331" i="1" s="1"/>
  <c r="P327" i="1"/>
  <c r="Q327" i="1" s="1"/>
  <c r="S327" i="1" s="1"/>
  <c r="J327" i="1" s="1"/>
  <c r="P323" i="1"/>
  <c r="Q323" i="1" s="1"/>
  <c r="S323" i="1" s="1"/>
  <c r="J323" i="1" s="1"/>
  <c r="P319" i="1"/>
  <c r="Q319" i="1" s="1"/>
  <c r="S319" i="1" s="1"/>
  <c r="J319" i="1" s="1"/>
  <c r="P315" i="1"/>
  <c r="Q315" i="1" s="1"/>
  <c r="S315" i="1" s="1"/>
  <c r="J315" i="1" s="1"/>
  <c r="P311" i="1"/>
  <c r="Q311" i="1" s="1"/>
  <c r="S311" i="1" s="1"/>
  <c r="J311" i="1" s="1"/>
  <c r="P307" i="1"/>
  <c r="Q307" i="1" s="1"/>
  <c r="S307" i="1" s="1"/>
  <c r="J307" i="1" s="1"/>
  <c r="P301" i="1"/>
  <c r="Q301" i="1" s="1"/>
  <c r="S301" i="1" s="1"/>
  <c r="J301" i="1" s="1"/>
  <c r="P297" i="1"/>
  <c r="Q297" i="1" s="1"/>
  <c r="S297" i="1" s="1"/>
  <c r="J297" i="1" s="1"/>
  <c r="P292" i="1"/>
  <c r="Q292" i="1" s="1"/>
  <c r="S292" i="1" s="1"/>
  <c r="J292" i="1" s="1"/>
  <c r="P288" i="1"/>
  <c r="Q288" i="1" s="1"/>
  <c r="S288" i="1" s="1"/>
  <c r="J288" i="1" s="1"/>
  <c r="P284" i="1"/>
  <c r="Q284" i="1" s="1"/>
  <c r="S284" i="1" s="1"/>
  <c r="J284" i="1" s="1"/>
  <c r="P280" i="1"/>
  <c r="Q280" i="1" s="1"/>
  <c r="S280" i="1" s="1"/>
  <c r="J280" i="1" s="1"/>
  <c r="P273" i="1"/>
  <c r="Q273" i="1" s="1"/>
  <c r="S273" i="1" s="1"/>
  <c r="J273" i="1" s="1"/>
  <c r="P269" i="1"/>
  <c r="Q269" i="1" s="1"/>
  <c r="S269" i="1" s="1"/>
  <c r="J269" i="1" s="1"/>
  <c r="P265" i="1"/>
  <c r="Q265" i="1" s="1"/>
  <c r="S265" i="1" s="1"/>
  <c r="J265" i="1" s="1"/>
  <c r="P259" i="1"/>
  <c r="Q259" i="1" s="1"/>
  <c r="S259" i="1" s="1"/>
  <c r="J259" i="1" s="1"/>
  <c r="P255" i="1"/>
  <c r="Q255" i="1" s="1"/>
  <c r="S255" i="1" s="1"/>
  <c r="J255" i="1" s="1"/>
  <c r="P251" i="1"/>
  <c r="Q251" i="1" s="1"/>
  <c r="S251" i="1" s="1"/>
  <c r="J251" i="1" s="1"/>
  <c r="P248" i="1"/>
  <c r="Q248" i="1" s="1"/>
  <c r="S248" i="1" s="1"/>
  <c r="J248" i="1" s="1"/>
  <c r="P245" i="1"/>
  <c r="Q245" i="1" s="1"/>
  <c r="S245" i="1" s="1"/>
  <c r="J245" i="1" s="1"/>
  <c r="P241" i="1"/>
  <c r="Q241" i="1" s="1"/>
  <c r="S241" i="1" s="1"/>
  <c r="J241" i="1" s="1"/>
  <c r="P234" i="1"/>
  <c r="Q234" i="1" s="1"/>
  <c r="S234" i="1" s="1"/>
  <c r="J234" i="1" s="1"/>
  <c r="P232" i="1"/>
  <c r="Q232" i="1" s="1"/>
  <c r="S232" i="1" s="1"/>
  <c r="J232" i="1" s="1"/>
  <c r="P228" i="1"/>
  <c r="Q228" i="1" s="1"/>
  <c r="S228" i="1" s="1"/>
  <c r="J228" i="1" s="1"/>
  <c r="P224" i="1"/>
  <c r="Q224" i="1" s="1"/>
  <c r="S224" i="1" s="1"/>
  <c r="J224" i="1" s="1"/>
  <c r="Y219" i="1"/>
  <c r="K219" i="1"/>
  <c r="P214" i="1"/>
  <c r="Q214" i="1" s="1"/>
  <c r="S214" i="1" s="1"/>
  <c r="J214" i="1" s="1"/>
  <c r="Y211" i="1"/>
  <c r="K211" i="1"/>
  <c r="P206" i="1"/>
  <c r="Q206" i="1" s="1"/>
  <c r="S206" i="1" s="1"/>
  <c r="J206" i="1" s="1"/>
  <c r="Y203" i="1"/>
  <c r="K203" i="1"/>
  <c r="P198" i="1"/>
  <c r="Q198" i="1" s="1"/>
  <c r="S198" i="1" s="1"/>
  <c r="J198" i="1" s="1"/>
  <c r="Y195" i="1"/>
  <c r="K195" i="1"/>
  <c r="P190" i="1"/>
  <c r="Q190" i="1" s="1"/>
  <c r="S190" i="1" s="1"/>
  <c r="J190" i="1" s="1"/>
  <c r="Y187" i="1"/>
  <c r="K187" i="1"/>
  <c r="P182" i="1"/>
  <c r="Q182" i="1" s="1"/>
  <c r="S182" i="1" s="1"/>
  <c r="J182" i="1" s="1"/>
  <c r="Y179" i="1"/>
  <c r="K179" i="1"/>
  <c r="P174" i="1"/>
  <c r="Q174" i="1" s="1"/>
  <c r="S174" i="1" s="1"/>
  <c r="J174" i="1" s="1"/>
  <c r="Y171" i="1"/>
  <c r="K171" i="1"/>
  <c r="P169" i="1"/>
  <c r="Q169" i="1" s="1"/>
  <c r="S169" i="1" s="1"/>
  <c r="J169" i="1" s="1"/>
  <c r="Y166" i="1"/>
  <c r="K166" i="1"/>
  <c r="Y158" i="1"/>
  <c r="K158" i="1"/>
  <c r="P154" i="1"/>
  <c r="Q154" i="1" s="1"/>
  <c r="S154" i="1" s="1"/>
  <c r="J154" i="1" s="1"/>
  <c r="Y151" i="1"/>
  <c r="K151" i="1"/>
  <c r="Y143" i="1"/>
  <c r="K143" i="1"/>
  <c r="P138" i="1"/>
  <c r="Q138" i="1" s="1"/>
  <c r="S138" i="1" s="1"/>
  <c r="J138" i="1" s="1"/>
  <c r="Y134" i="1"/>
  <c r="K134" i="1"/>
  <c r="P132" i="1"/>
  <c r="Q132" i="1" s="1"/>
  <c r="S132" i="1" s="1"/>
  <c r="J132" i="1" s="1"/>
  <c r="Y129" i="1"/>
  <c r="K129" i="1"/>
  <c r="P122" i="1"/>
  <c r="Q122" i="1" s="1"/>
  <c r="S122" i="1" s="1"/>
  <c r="J122" i="1" s="1"/>
  <c r="Y119" i="1"/>
  <c r="K119" i="1"/>
  <c r="P117" i="1"/>
  <c r="Q117" i="1" s="1"/>
  <c r="S117" i="1" s="1"/>
  <c r="J117" i="1" s="1"/>
  <c r="K115" i="1"/>
  <c r="Y115" i="1"/>
  <c r="P113" i="1"/>
  <c r="Q113" i="1" s="1"/>
  <c r="S113" i="1" s="1"/>
  <c r="J113" i="1" s="1"/>
  <c r="Y110" i="1"/>
  <c r="K110" i="1"/>
  <c r="Y106" i="1"/>
  <c r="K106" i="1"/>
  <c r="P101" i="1"/>
  <c r="Q101" i="1" s="1"/>
  <c r="S101" i="1" s="1"/>
  <c r="J101" i="1" s="1"/>
  <c r="Y98" i="1"/>
  <c r="K98" i="1"/>
  <c r="P93" i="1"/>
  <c r="Q93" i="1" s="1"/>
  <c r="S93" i="1" s="1"/>
  <c r="J93" i="1" s="1"/>
  <c r="P88" i="1"/>
  <c r="Q88" i="1" s="1"/>
  <c r="S88" i="1" s="1"/>
  <c r="J88" i="1" s="1"/>
  <c r="Y85" i="1"/>
  <c r="K85" i="1"/>
  <c r="P80" i="1"/>
  <c r="Q80" i="1" s="1"/>
  <c r="S80" i="1" s="1"/>
  <c r="J80" i="1" s="1"/>
  <c r="Y77" i="1"/>
  <c r="K77" i="1"/>
  <c r="P72" i="1"/>
  <c r="Q72" i="1" s="1"/>
  <c r="S72" i="1" s="1"/>
  <c r="J72" i="1" s="1"/>
  <c r="Y69" i="1"/>
  <c r="K69" i="1"/>
  <c r="P64" i="1"/>
  <c r="Q64" i="1" s="1"/>
  <c r="S64" i="1" s="1"/>
  <c r="J64" i="1" s="1"/>
  <c r="Y61" i="1"/>
  <c r="K61" i="1"/>
  <c r="P56" i="1"/>
  <c r="Q56" i="1" s="1"/>
  <c r="S56" i="1" s="1"/>
  <c r="J56" i="1" s="1"/>
  <c r="Y53" i="1"/>
  <c r="K53" i="1"/>
  <c r="P48" i="1"/>
  <c r="Q48" i="1" s="1"/>
  <c r="S48" i="1" s="1"/>
  <c r="J48" i="1" s="1"/>
  <c r="Y45" i="1"/>
  <c r="K45" i="1"/>
  <c r="P40" i="1"/>
  <c r="Q40" i="1" s="1"/>
  <c r="S40" i="1" s="1"/>
  <c r="J40" i="1" s="1"/>
  <c r="Y33" i="1"/>
  <c r="K33" i="1"/>
  <c r="Y27" i="1"/>
  <c r="K27" i="1"/>
  <c r="P22" i="1"/>
  <c r="Q22" i="1" s="1"/>
  <c r="S22" i="1" s="1"/>
  <c r="J22" i="1" s="1"/>
  <c r="Y19" i="1"/>
  <c r="K19" i="1"/>
  <c r="P14" i="1"/>
  <c r="Q14" i="1" s="1"/>
  <c r="S14" i="1" s="1"/>
  <c r="J14" i="1" s="1"/>
  <c r="Y11" i="1"/>
  <c r="K11" i="1"/>
  <c r="P160" i="1"/>
  <c r="Q160" i="1" s="1"/>
  <c r="S160" i="1" s="1"/>
  <c r="J160" i="1" s="1"/>
  <c r="P135" i="1"/>
  <c r="Q135" i="1" s="1"/>
  <c r="S135" i="1" s="1"/>
  <c r="J135" i="1" s="1"/>
  <c r="P130" i="1"/>
  <c r="Q130" i="1" s="1"/>
  <c r="S130" i="1" s="1"/>
  <c r="J130" i="1" s="1"/>
  <c r="P126" i="1"/>
  <c r="Q126" i="1" s="1"/>
  <c r="S126" i="1" s="1"/>
  <c r="J126" i="1" s="1"/>
  <c r="P124" i="1"/>
  <c r="Q124" i="1" s="1"/>
  <c r="S124" i="1" s="1"/>
  <c r="J124" i="1" s="1"/>
  <c r="P120" i="1"/>
  <c r="Q120" i="1" s="1"/>
  <c r="S120" i="1" s="1"/>
  <c r="J120" i="1" s="1"/>
  <c r="P103" i="1"/>
  <c r="Q103" i="1" s="1"/>
  <c r="S103" i="1" s="1"/>
  <c r="J103" i="1" s="1"/>
  <c r="P99" i="1"/>
  <c r="Q99" i="1" s="1"/>
  <c r="S99" i="1" s="1"/>
  <c r="J99" i="1" s="1"/>
  <c r="P95" i="1"/>
  <c r="Q95" i="1" s="1"/>
  <c r="S95" i="1" s="1"/>
  <c r="J95" i="1" s="1"/>
  <c r="P91" i="1"/>
  <c r="Q91" i="1" s="1"/>
  <c r="S91" i="1" s="1"/>
  <c r="J91" i="1" s="1"/>
  <c r="P86" i="1"/>
  <c r="Q86" i="1" s="1"/>
  <c r="S86" i="1" s="1"/>
  <c r="J86" i="1" s="1"/>
  <c r="P82" i="1"/>
  <c r="Q82" i="1" s="1"/>
  <c r="S82" i="1" s="1"/>
  <c r="J82" i="1" s="1"/>
  <c r="P78" i="1"/>
  <c r="Q78" i="1" s="1"/>
  <c r="S78" i="1" s="1"/>
  <c r="J78" i="1" s="1"/>
  <c r="P74" i="1"/>
  <c r="Q74" i="1" s="1"/>
  <c r="S74" i="1" s="1"/>
  <c r="J74" i="1" s="1"/>
  <c r="P70" i="1"/>
  <c r="Q70" i="1" s="1"/>
  <c r="S70" i="1" s="1"/>
  <c r="J70" i="1" s="1"/>
  <c r="P66" i="1"/>
  <c r="Q66" i="1" s="1"/>
  <c r="S66" i="1" s="1"/>
  <c r="J66" i="1" s="1"/>
  <c r="P62" i="1"/>
  <c r="Q62" i="1" s="1"/>
  <c r="S62" i="1" s="1"/>
  <c r="J62" i="1" s="1"/>
  <c r="P58" i="1"/>
  <c r="Q58" i="1" s="1"/>
  <c r="S58" i="1" s="1"/>
  <c r="J58" i="1" s="1"/>
  <c r="P54" i="1"/>
  <c r="Q54" i="1" s="1"/>
  <c r="S54" i="1" s="1"/>
  <c r="J54" i="1" s="1"/>
  <c r="P50" i="1"/>
  <c r="Q50" i="1" s="1"/>
  <c r="S50" i="1" s="1"/>
  <c r="J50" i="1" s="1"/>
  <c r="P46" i="1"/>
  <c r="Q46" i="1" s="1"/>
  <c r="S46" i="1" s="1"/>
  <c r="J46" i="1" s="1"/>
  <c r="P42" i="1"/>
  <c r="Q42" i="1" s="1"/>
  <c r="S42" i="1" s="1"/>
  <c r="J42" i="1" s="1"/>
  <c r="P38" i="1"/>
  <c r="Q38" i="1" s="1"/>
  <c r="S38" i="1" s="1"/>
  <c r="J38" i="1" s="1"/>
  <c r="J9" i="1" l="1"/>
  <c r="Y9" i="1" s="1"/>
  <c r="K38" i="1"/>
  <c r="Y38" i="1"/>
  <c r="K46" i="1"/>
  <c r="Y46" i="1"/>
  <c r="K54" i="1"/>
  <c r="Y54" i="1"/>
  <c r="K62" i="1"/>
  <c r="Y62" i="1"/>
  <c r="K70" i="1"/>
  <c r="Y70" i="1"/>
  <c r="K78" i="1"/>
  <c r="Y78" i="1"/>
  <c r="K86" i="1"/>
  <c r="Y86" i="1"/>
  <c r="K95" i="1"/>
  <c r="Y95" i="1"/>
  <c r="K103" i="1"/>
  <c r="Y103" i="1"/>
  <c r="K124" i="1"/>
  <c r="Y124" i="1"/>
  <c r="K130" i="1"/>
  <c r="Y130" i="1"/>
  <c r="K160" i="1"/>
  <c r="Y160" i="1"/>
  <c r="K22" i="1"/>
  <c r="Y22" i="1"/>
  <c r="K48" i="1"/>
  <c r="Y48" i="1"/>
  <c r="K64" i="1"/>
  <c r="Y64" i="1"/>
  <c r="K80" i="1"/>
  <c r="Y80" i="1"/>
  <c r="K93" i="1"/>
  <c r="Y93" i="1"/>
  <c r="K113" i="1"/>
  <c r="Y113" i="1"/>
  <c r="K122" i="1"/>
  <c r="Y122" i="1"/>
  <c r="K138" i="1"/>
  <c r="Y138" i="1"/>
  <c r="K169" i="1"/>
  <c r="Y169" i="1"/>
  <c r="K182" i="1"/>
  <c r="Y182" i="1"/>
  <c r="K198" i="1"/>
  <c r="Y198" i="1"/>
  <c r="K214" i="1"/>
  <c r="Y214" i="1"/>
  <c r="K228" i="1"/>
  <c r="Y228" i="1"/>
  <c r="K234" i="1"/>
  <c r="Y234" i="1"/>
  <c r="K245" i="1"/>
  <c r="Y245" i="1"/>
  <c r="K251" i="1"/>
  <c r="Y251" i="1"/>
  <c r="K259" i="1"/>
  <c r="Y259" i="1"/>
  <c r="K269" i="1"/>
  <c r="Y269" i="1"/>
  <c r="K280" i="1"/>
  <c r="Y280" i="1"/>
  <c r="K288" i="1"/>
  <c r="Y288" i="1"/>
  <c r="K297" i="1"/>
  <c r="Y297" i="1"/>
  <c r="K307" i="1"/>
  <c r="Y307" i="1"/>
  <c r="K315" i="1"/>
  <c r="Y315" i="1"/>
  <c r="K323" i="1"/>
  <c r="Y323" i="1"/>
  <c r="K331" i="1"/>
  <c r="Y331" i="1"/>
  <c r="K339" i="1"/>
  <c r="Y339" i="1"/>
  <c r="K347" i="1"/>
  <c r="Y347" i="1"/>
  <c r="K355" i="1"/>
  <c r="Y355" i="1"/>
  <c r="K363" i="1"/>
  <c r="Y363" i="1"/>
  <c r="K376" i="1"/>
  <c r="Y376" i="1"/>
  <c r="K380" i="1"/>
  <c r="Y380" i="1"/>
  <c r="K410" i="1"/>
  <c r="Y410" i="1"/>
  <c r="K434" i="1"/>
  <c r="Y434" i="1"/>
  <c r="K474" i="1"/>
  <c r="Y474" i="1"/>
  <c r="K489" i="1"/>
  <c r="Y489" i="1"/>
  <c r="K498" i="1"/>
  <c r="Y498" i="1"/>
  <c r="K502" i="1"/>
  <c r="Y502" i="1"/>
  <c r="K506" i="1"/>
  <c r="Y506" i="1"/>
  <c r="K510" i="1"/>
  <c r="Y510" i="1"/>
  <c r="K514" i="1"/>
  <c r="Y514" i="1"/>
  <c r="K530" i="1"/>
  <c r="Y530" i="1"/>
  <c r="K534" i="1"/>
  <c r="Y534" i="1"/>
  <c r="K548" i="1"/>
  <c r="Y548" i="1"/>
  <c r="K552" i="1"/>
  <c r="Y552" i="1"/>
  <c r="K602" i="1"/>
  <c r="Y602" i="1"/>
  <c r="K639" i="1"/>
  <c r="Y639" i="1"/>
  <c r="K643" i="1"/>
  <c r="Y643" i="1"/>
  <c r="K649" i="1"/>
  <c r="Y649" i="1"/>
  <c r="K657" i="1"/>
  <c r="Y657" i="1"/>
  <c r="K663" i="1"/>
  <c r="Y663" i="1"/>
  <c r="K671" i="1"/>
  <c r="Y671" i="1"/>
  <c r="K702" i="1"/>
  <c r="Y702" i="1"/>
  <c r="K710" i="1"/>
  <c r="Y710" i="1"/>
  <c r="K716" i="1"/>
  <c r="Y716" i="1"/>
  <c r="K720" i="1"/>
  <c r="Y720" i="1"/>
  <c r="K765" i="1"/>
  <c r="Y765" i="1"/>
  <c r="K775" i="1"/>
  <c r="Y775" i="1"/>
  <c r="K785" i="1"/>
  <c r="Y785" i="1"/>
  <c r="K793" i="1"/>
  <c r="Y793" i="1"/>
  <c r="K801" i="1"/>
  <c r="Y801" i="1"/>
  <c r="K809" i="1"/>
  <c r="Y809" i="1"/>
  <c r="K817" i="1"/>
  <c r="Y817" i="1"/>
  <c r="K825" i="1"/>
  <c r="Y825" i="1"/>
  <c r="K839" i="1"/>
  <c r="Y839" i="1"/>
  <c r="K847" i="1"/>
  <c r="Y847" i="1"/>
  <c r="K857" i="1"/>
  <c r="Y857" i="1"/>
  <c r="K865" i="1"/>
  <c r="Y865" i="1"/>
  <c r="K873" i="1"/>
  <c r="Y873" i="1"/>
  <c r="K884" i="1"/>
  <c r="Y884" i="1"/>
  <c r="K12" i="1"/>
  <c r="Y12" i="1"/>
  <c r="K20" i="1"/>
  <c r="Y20" i="1"/>
  <c r="K30" i="1"/>
  <c r="Y30" i="1"/>
  <c r="K111" i="1"/>
  <c r="Y111" i="1"/>
  <c r="K140" i="1"/>
  <c r="Y140" i="1"/>
  <c r="K152" i="1"/>
  <c r="Y152" i="1"/>
  <c r="K161" i="1"/>
  <c r="Y161" i="1"/>
  <c r="K172" i="1"/>
  <c r="Y172" i="1"/>
  <c r="K180" i="1"/>
  <c r="Y180" i="1"/>
  <c r="K188" i="1"/>
  <c r="Y188" i="1"/>
  <c r="K196" i="1"/>
  <c r="Y196" i="1"/>
  <c r="K204" i="1"/>
  <c r="Y204" i="1"/>
  <c r="K212" i="1"/>
  <c r="Y212" i="1"/>
  <c r="K220" i="1"/>
  <c r="Y220" i="1"/>
  <c r="K10" i="1"/>
  <c r="Y10" i="1"/>
  <c r="K26" i="1"/>
  <c r="Y26" i="1"/>
  <c r="K44" i="1"/>
  <c r="Y44" i="1"/>
  <c r="K60" i="1"/>
  <c r="Y60" i="1"/>
  <c r="K76" i="1"/>
  <c r="Y76" i="1"/>
  <c r="K89" i="1"/>
  <c r="Y89" i="1"/>
  <c r="K105" i="1"/>
  <c r="Y105" i="1"/>
  <c r="K118" i="1"/>
  <c r="Y118" i="1"/>
  <c r="K133" i="1"/>
  <c r="Y133" i="1"/>
  <c r="K150" i="1"/>
  <c r="Y150" i="1"/>
  <c r="K165" i="1"/>
  <c r="Y165" i="1"/>
  <c r="K186" i="1"/>
  <c r="Y186" i="1"/>
  <c r="K202" i="1"/>
  <c r="Y202" i="1"/>
  <c r="K218" i="1"/>
  <c r="Y218" i="1"/>
  <c r="K233" i="1"/>
  <c r="Y233" i="1"/>
  <c r="K243" i="1"/>
  <c r="Y243" i="1"/>
  <c r="K249" i="1"/>
  <c r="Y249" i="1"/>
  <c r="K257" i="1"/>
  <c r="Y257" i="1"/>
  <c r="K267" i="1"/>
  <c r="Y267" i="1"/>
  <c r="K275" i="1"/>
  <c r="Y275" i="1"/>
  <c r="K286" i="1"/>
  <c r="Y286" i="1"/>
  <c r="K294" i="1"/>
  <c r="Y294" i="1"/>
  <c r="K305" i="1"/>
  <c r="Y305" i="1"/>
  <c r="K313" i="1"/>
  <c r="Y313" i="1"/>
  <c r="K321" i="1"/>
  <c r="Y321" i="1"/>
  <c r="K329" i="1"/>
  <c r="Y329" i="1"/>
  <c r="K337" i="1"/>
  <c r="Y337" i="1"/>
  <c r="K345" i="1"/>
  <c r="Y345" i="1"/>
  <c r="K353" i="1"/>
  <c r="Y353" i="1"/>
  <c r="K361" i="1"/>
  <c r="Y361" i="1"/>
  <c r="K375" i="1"/>
  <c r="Y375" i="1"/>
  <c r="K379" i="1"/>
  <c r="Y379" i="1"/>
  <c r="K441" i="1"/>
  <c r="Y441" i="1"/>
  <c r="K475" i="1"/>
  <c r="Y475" i="1"/>
  <c r="K493" i="1"/>
  <c r="Y493" i="1"/>
  <c r="K497" i="1"/>
  <c r="Y497" i="1"/>
  <c r="K501" i="1"/>
  <c r="Y501" i="1"/>
  <c r="K505" i="1"/>
  <c r="Y505" i="1"/>
  <c r="K523" i="1"/>
  <c r="Y523" i="1"/>
  <c r="K528" i="1"/>
  <c r="Y528" i="1"/>
  <c r="K544" i="1"/>
  <c r="Y544" i="1"/>
  <c r="K586" i="1"/>
  <c r="Y586" i="1"/>
  <c r="K601" i="1"/>
  <c r="Y601" i="1"/>
  <c r="K607" i="1"/>
  <c r="Y607" i="1"/>
  <c r="K623" i="1"/>
  <c r="Y623" i="1"/>
  <c r="K627" i="1"/>
  <c r="Y627" i="1"/>
  <c r="K631" i="1"/>
  <c r="Y631" i="1"/>
  <c r="K667" i="1"/>
  <c r="Y667" i="1"/>
  <c r="K675" i="1"/>
  <c r="Y675" i="1"/>
  <c r="K680" i="1"/>
  <c r="Y680" i="1"/>
  <c r="K684" i="1"/>
  <c r="Y684" i="1"/>
  <c r="K690" i="1"/>
  <c r="Y690" i="1"/>
  <c r="K694" i="1"/>
  <c r="Y694" i="1"/>
  <c r="K706" i="1"/>
  <c r="Y706" i="1"/>
  <c r="K722" i="1"/>
  <c r="Y722" i="1"/>
  <c r="K731" i="1"/>
  <c r="Y731" i="1"/>
  <c r="K759" i="1"/>
  <c r="Y759" i="1"/>
  <c r="K767" i="1"/>
  <c r="Y767" i="1"/>
  <c r="K779" i="1"/>
  <c r="Y779" i="1"/>
  <c r="K787" i="1"/>
  <c r="Y787" i="1"/>
  <c r="K795" i="1"/>
  <c r="Y795" i="1"/>
  <c r="K803" i="1"/>
  <c r="Y803" i="1"/>
  <c r="K811" i="1"/>
  <c r="Y811" i="1"/>
  <c r="K819" i="1"/>
  <c r="Y819" i="1"/>
  <c r="K829" i="1"/>
  <c r="Y829" i="1"/>
  <c r="K841" i="1"/>
  <c r="Y841" i="1"/>
  <c r="K849" i="1"/>
  <c r="Y849" i="1"/>
  <c r="K859" i="1"/>
  <c r="Y859" i="1"/>
  <c r="K867" i="1"/>
  <c r="Y867" i="1"/>
  <c r="K875" i="1"/>
  <c r="Y875" i="1"/>
  <c r="K896" i="1"/>
  <c r="Y896" i="1"/>
  <c r="K882" i="1"/>
  <c r="Y882" i="1"/>
  <c r="K42" i="1"/>
  <c r="Y42" i="1"/>
  <c r="K50" i="1"/>
  <c r="Y50" i="1"/>
  <c r="K58" i="1"/>
  <c r="Y58" i="1"/>
  <c r="K66" i="1"/>
  <c r="Y66" i="1"/>
  <c r="K74" i="1"/>
  <c r="Y74" i="1"/>
  <c r="K82" i="1"/>
  <c r="Y82" i="1"/>
  <c r="K91" i="1"/>
  <c r="Y91" i="1"/>
  <c r="K99" i="1"/>
  <c r="Y99" i="1"/>
  <c r="K120" i="1"/>
  <c r="Y120" i="1"/>
  <c r="K126" i="1"/>
  <c r="Y126" i="1"/>
  <c r="K135" i="1"/>
  <c r="Y135" i="1"/>
  <c r="K14" i="1"/>
  <c r="Y14" i="1"/>
  <c r="K40" i="1"/>
  <c r="Y40" i="1"/>
  <c r="K56" i="1"/>
  <c r="Y56" i="1"/>
  <c r="K72" i="1"/>
  <c r="Y72" i="1"/>
  <c r="K88" i="1"/>
  <c r="Y88" i="1"/>
  <c r="K101" i="1"/>
  <c r="Y101" i="1"/>
  <c r="K117" i="1"/>
  <c r="Y117" i="1"/>
  <c r="K132" i="1"/>
  <c r="Y132" i="1"/>
  <c r="K154" i="1"/>
  <c r="Y154" i="1"/>
  <c r="K174" i="1"/>
  <c r="Y174" i="1"/>
  <c r="K190" i="1"/>
  <c r="Y190" i="1"/>
  <c r="K206" i="1"/>
  <c r="Y206" i="1"/>
  <c r="K224" i="1"/>
  <c r="Y224" i="1"/>
  <c r="K232" i="1"/>
  <c r="Y232" i="1"/>
  <c r="K241" i="1"/>
  <c r="Y241" i="1"/>
  <c r="K248" i="1"/>
  <c r="Y248" i="1"/>
  <c r="K255" i="1"/>
  <c r="Y255" i="1"/>
  <c r="K265" i="1"/>
  <c r="Y265" i="1"/>
  <c r="K273" i="1"/>
  <c r="Y273" i="1"/>
  <c r="K284" i="1"/>
  <c r="Y284" i="1"/>
  <c r="K292" i="1"/>
  <c r="Y292" i="1"/>
  <c r="K301" i="1"/>
  <c r="Y301" i="1"/>
  <c r="K311" i="1"/>
  <c r="Y311" i="1"/>
  <c r="K319" i="1"/>
  <c r="Y319" i="1"/>
  <c r="K327" i="1"/>
  <c r="Y327" i="1"/>
  <c r="K335" i="1"/>
  <c r="Y335" i="1"/>
  <c r="K343" i="1"/>
  <c r="Y343" i="1"/>
  <c r="K351" i="1"/>
  <c r="Y351" i="1"/>
  <c r="K359" i="1"/>
  <c r="Y359" i="1"/>
  <c r="K369" i="1"/>
  <c r="Y369" i="1"/>
  <c r="K378" i="1"/>
  <c r="Y378" i="1"/>
  <c r="K408" i="1"/>
  <c r="Y408" i="1"/>
  <c r="K412" i="1"/>
  <c r="Y412" i="1"/>
  <c r="K458" i="1"/>
  <c r="Y458" i="1"/>
  <c r="K476" i="1"/>
  <c r="Y476" i="1"/>
  <c r="K496" i="1"/>
  <c r="Y496" i="1"/>
  <c r="K500" i="1"/>
  <c r="Y500" i="1"/>
  <c r="K504" i="1"/>
  <c r="Y504" i="1"/>
  <c r="K508" i="1"/>
  <c r="Y508" i="1"/>
  <c r="K512" i="1"/>
  <c r="Y512" i="1"/>
  <c r="K516" i="1"/>
  <c r="Y516" i="1"/>
  <c r="K532" i="1"/>
  <c r="Y532" i="1"/>
  <c r="K536" i="1"/>
  <c r="Y536" i="1"/>
  <c r="K550" i="1"/>
  <c r="Y550" i="1"/>
  <c r="K595" i="1"/>
  <c r="Y595" i="1"/>
  <c r="K605" i="1"/>
  <c r="Y605" i="1"/>
  <c r="K641" i="1"/>
  <c r="Y641" i="1"/>
  <c r="K645" i="1"/>
  <c r="Y645" i="1"/>
  <c r="K651" i="1"/>
  <c r="Y651" i="1"/>
  <c r="K661" i="1"/>
  <c r="Y661" i="1"/>
  <c r="K669" i="1"/>
  <c r="Y669" i="1"/>
  <c r="K698" i="1"/>
  <c r="Y698" i="1"/>
  <c r="K704" i="1"/>
  <c r="Y704" i="1"/>
  <c r="K714" i="1"/>
  <c r="Y714" i="1"/>
  <c r="K718" i="1"/>
  <c r="Y718" i="1"/>
  <c r="K761" i="1"/>
  <c r="Y761" i="1"/>
  <c r="K769" i="1"/>
  <c r="Y769" i="1"/>
  <c r="K781" i="1"/>
  <c r="Y781" i="1"/>
  <c r="K789" i="1"/>
  <c r="Y789" i="1"/>
  <c r="K797" i="1"/>
  <c r="Y797" i="1"/>
  <c r="K805" i="1"/>
  <c r="Y805" i="1"/>
  <c r="K813" i="1"/>
  <c r="Y813" i="1"/>
  <c r="K821" i="1"/>
  <c r="Y821" i="1"/>
  <c r="K831" i="1"/>
  <c r="Y831" i="1"/>
  <c r="K843" i="1"/>
  <c r="Y843" i="1"/>
  <c r="K853" i="1"/>
  <c r="Y853" i="1"/>
  <c r="K861" i="1"/>
  <c r="Y861" i="1"/>
  <c r="K869" i="1"/>
  <c r="Y869" i="1"/>
  <c r="K880" i="1"/>
  <c r="Y880" i="1"/>
  <c r="K886" i="1"/>
  <c r="Y886" i="1"/>
  <c r="K16" i="1"/>
  <c r="Y16" i="1"/>
  <c r="K24" i="1"/>
  <c r="Y24" i="1"/>
  <c r="K34" i="1"/>
  <c r="Y34" i="1"/>
  <c r="K136" i="1"/>
  <c r="Y136" i="1"/>
  <c r="K144" i="1"/>
  <c r="Y144" i="1"/>
  <c r="K159" i="1"/>
  <c r="Y159" i="1"/>
  <c r="K167" i="1"/>
  <c r="Y167" i="1"/>
  <c r="K176" i="1"/>
  <c r="Y176" i="1"/>
  <c r="K184" i="1"/>
  <c r="Y184" i="1"/>
  <c r="K192" i="1"/>
  <c r="Y192" i="1"/>
  <c r="K200" i="1"/>
  <c r="Y200" i="1"/>
  <c r="K208" i="1"/>
  <c r="Y208" i="1"/>
  <c r="K216" i="1"/>
  <c r="Y216" i="1"/>
  <c r="K226" i="1"/>
  <c r="Y226" i="1"/>
  <c r="K18" i="1"/>
  <c r="Y18" i="1"/>
  <c r="K32" i="1"/>
  <c r="Y32" i="1"/>
  <c r="K52" i="1"/>
  <c r="Y52" i="1"/>
  <c r="K68" i="1"/>
  <c r="Y68" i="1"/>
  <c r="K84" i="1"/>
  <c r="Y84" i="1"/>
  <c r="K97" i="1"/>
  <c r="Y97" i="1"/>
  <c r="K109" i="1"/>
  <c r="Y109" i="1"/>
  <c r="K128" i="1"/>
  <c r="Y128" i="1"/>
  <c r="K142" i="1"/>
  <c r="Y142" i="1"/>
  <c r="K157" i="1"/>
  <c r="Y157" i="1"/>
  <c r="K178" i="1"/>
  <c r="Y178" i="1"/>
  <c r="K194" i="1"/>
  <c r="Y194" i="1"/>
  <c r="K210" i="1"/>
  <c r="Y210" i="1"/>
  <c r="K231" i="1"/>
  <c r="Y231" i="1"/>
  <c r="K238" i="1"/>
  <c r="Y238" i="1"/>
  <c r="K247" i="1"/>
  <c r="Y247" i="1"/>
  <c r="K253" i="1"/>
  <c r="Y253" i="1"/>
  <c r="K261" i="1"/>
  <c r="Y261" i="1"/>
  <c r="K271" i="1"/>
  <c r="Y271" i="1"/>
  <c r="K282" i="1"/>
  <c r="Y282" i="1"/>
  <c r="K290" i="1"/>
  <c r="Y290" i="1"/>
  <c r="K299" i="1"/>
  <c r="Y299" i="1"/>
  <c r="K309" i="1"/>
  <c r="Y309" i="1"/>
  <c r="K317" i="1"/>
  <c r="Y317" i="1"/>
  <c r="K325" i="1"/>
  <c r="Y325" i="1"/>
  <c r="K333" i="1"/>
  <c r="Y333" i="1"/>
  <c r="K341" i="1"/>
  <c r="Y341" i="1"/>
  <c r="K349" i="1"/>
  <c r="Y349" i="1"/>
  <c r="K357" i="1"/>
  <c r="Y357" i="1"/>
  <c r="K366" i="1"/>
  <c r="Y366" i="1"/>
  <c r="K377" i="1"/>
  <c r="Y377" i="1"/>
  <c r="K381" i="1"/>
  <c r="Y381" i="1"/>
  <c r="K473" i="1"/>
  <c r="Y473" i="1"/>
  <c r="K477" i="1"/>
  <c r="Y477" i="1"/>
  <c r="K495" i="1"/>
  <c r="Y495" i="1"/>
  <c r="K499" i="1"/>
  <c r="Y499" i="1"/>
  <c r="K503" i="1"/>
  <c r="Y503" i="1"/>
  <c r="K507" i="1"/>
  <c r="Y507" i="1"/>
  <c r="K526" i="1"/>
  <c r="Y526" i="1"/>
  <c r="K542" i="1"/>
  <c r="Y542" i="1"/>
  <c r="K546" i="1"/>
  <c r="Y546" i="1"/>
  <c r="K590" i="1"/>
  <c r="Y590" i="1"/>
  <c r="K604" i="1"/>
  <c r="Y604" i="1"/>
  <c r="K621" i="1"/>
  <c r="Y621" i="1"/>
  <c r="K625" i="1"/>
  <c r="Y625" i="1"/>
  <c r="K629" i="1"/>
  <c r="Y629" i="1"/>
  <c r="K653" i="1"/>
  <c r="Y653" i="1"/>
  <c r="K673" i="1"/>
  <c r="Y673" i="1"/>
  <c r="K678" i="1"/>
  <c r="Y678" i="1"/>
  <c r="K682" i="1"/>
  <c r="Y682" i="1"/>
  <c r="K686" i="1"/>
  <c r="Y686" i="1"/>
  <c r="K692" i="1"/>
  <c r="Y692" i="1"/>
  <c r="K696" i="1"/>
  <c r="Y696" i="1"/>
  <c r="K712" i="1"/>
  <c r="Y712" i="1"/>
  <c r="K725" i="1"/>
  <c r="Y725" i="1"/>
  <c r="K733" i="1"/>
  <c r="Y733" i="1"/>
  <c r="K763" i="1"/>
  <c r="Y763" i="1"/>
  <c r="K773" i="1"/>
  <c r="Y773" i="1"/>
  <c r="K783" i="1"/>
  <c r="Y783" i="1"/>
  <c r="K791" i="1"/>
  <c r="Y791" i="1"/>
  <c r="K799" i="1"/>
  <c r="Y799" i="1"/>
  <c r="K807" i="1"/>
  <c r="Y807" i="1"/>
  <c r="K815" i="1"/>
  <c r="Y815" i="1"/>
  <c r="K823" i="1"/>
  <c r="Y823" i="1"/>
  <c r="K835" i="1"/>
  <c r="Y835" i="1"/>
  <c r="K845" i="1"/>
  <c r="Y845" i="1"/>
  <c r="K855" i="1"/>
  <c r="Y855" i="1"/>
  <c r="K863" i="1"/>
  <c r="Y863" i="1"/>
  <c r="K871" i="1"/>
  <c r="Y871" i="1"/>
  <c r="K892" i="1"/>
  <c r="Y892" i="1"/>
  <c r="K877" i="1"/>
  <c r="Y877" i="1"/>
  <c r="K894" i="1"/>
  <c r="Y894" i="1"/>
  <c r="K9" i="1"/>
  <c r="G1633" i="1"/>
  <c r="G1446" i="1"/>
  <c r="F1691" i="1"/>
  <c r="F1724" i="1"/>
  <c r="I1785" i="1"/>
  <c r="G1635" i="1"/>
  <c r="I1648" i="1"/>
  <c r="I1632" i="1"/>
  <c r="F1433" i="1"/>
  <c r="G1433" i="1"/>
  <c r="I1661" i="1"/>
  <c r="G1431" i="1"/>
  <c r="I1594" i="1"/>
  <c r="I1643" i="1"/>
  <c r="I1446" i="1"/>
  <c r="I1621" i="1"/>
  <c r="F1619" i="1"/>
  <c r="F1480" i="1"/>
  <c r="G1576" i="1"/>
  <c r="F1554" i="1"/>
  <c r="F1466" i="1"/>
  <c r="F1465" i="1"/>
  <c r="F1574" i="1"/>
  <c r="F1692" i="1"/>
  <c r="I1445" i="1"/>
  <c r="I1634" i="1"/>
  <c r="F1633" i="1"/>
  <c r="F1683" i="1"/>
  <c r="G1594" i="1"/>
  <c r="I1457" i="1"/>
  <c r="F1447" i="1"/>
  <c r="G1615" i="1"/>
  <c r="I1615" i="1"/>
  <c r="G1667" i="1"/>
  <c r="F1594" i="1"/>
  <c r="F1576" i="1"/>
  <c r="G1450" i="1"/>
  <c r="G1449" i="1"/>
  <c r="F1577" i="1"/>
  <c r="I1644" i="1"/>
  <c r="F1624" i="1"/>
  <c r="G1725" i="1"/>
  <c r="I1685" i="1"/>
  <c r="F1498" i="1"/>
  <c r="G1807" i="1"/>
  <c r="I1721" i="1"/>
  <c r="I1619" i="1"/>
  <c r="I1449" i="1"/>
  <c r="I1450" i="1"/>
  <c r="G1621" i="1"/>
  <c r="I1574" i="1"/>
  <c r="F1484" i="1"/>
  <c r="I1633" i="1"/>
  <c r="I1707" i="1"/>
  <c r="I1725" i="1"/>
  <c r="G1499" i="1"/>
  <c r="G1645" i="1"/>
  <c r="F1632" i="1"/>
  <c r="I1732" i="1"/>
  <c r="F1695" i="1"/>
  <c r="G1632" i="1"/>
  <c r="G1648" i="1"/>
  <c r="F1698" i="1"/>
  <c r="F1586" i="1"/>
  <c r="F1414" i="1"/>
  <c r="I1710" i="1"/>
  <c r="F1432" i="1"/>
  <c r="G1466" i="1"/>
  <c r="I1795" i="1"/>
  <c r="G1631" i="1"/>
  <c r="F1499" i="1"/>
  <c r="G1724" i="1"/>
  <c r="G1685" i="1"/>
  <c r="F1623" i="1"/>
  <c r="I1820" i="1"/>
  <c r="G1660" i="1"/>
  <c r="I1431" i="1"/>
  <c r="F1615" i="1"/>
  <c r="G1629" i="1"/>
  <c r="G1586" i="1"/>
  <c r="G1474" i="1"/>
  <c r="I1817" i="1"/>
  <c r="F1647" i="1"/>
  <c r="F1630" i="1"/>
  <c r="F1600" i="1"/>
  <c r="G1643" i="1"/>
  <c r="I1480" i="1"/>
  <c r="F1648" i="1"/>
  <c r="G1468" i="1"/>
  <c r="G1710" i="1"/>
  <c r="G1574" i="1"/>
  <c r="F1720" i="1"/>
  <c r="I1483" i="1"/>
  <c r="F1732" i="1"/>
  <c r="G1465" i="1"/>
  <c r="G1684" i="1"/>
  <c r="I1647" i="1"/>
  <c r="F1587" i="1"/>
  <c r="G1668" i="1"/>
  <c r="G1534" i="1"/>
  <c r="G1628" i="1"/>
  <c r="G1691" i="1"/>
  <c r="G1444" i="1"/>
  <c r="G1619" i="1"/>
  <c r="F1821" i="1"/>
  <c r="F1545" i="1"/>
  <c r="I1798" i="1"/>
  <c r="F1690" i="1"/>
  <c r="I1444" i="1"/>
  <c r="I1631" i="1"/>
  <c r="I1414" i="1"/>
  <c r="I1547" i="1"/>
  <c r="F1443" i="1"/>
  <c r="I1635" i="1"/>
  <c r="I1600" i="1"/>
  <c r="F1684" i="1"/>
  <c r="I1668" i="1"/>
  <c r="I1630" i="1"/>
  <c r="F1468" i="1"/>
  <c r="I1470" i="1"/>
  <c r="G1732" i="1"/>
  <c r="G1471" i="1"/>
  <c r="F1621" i="1"/>
  <c r="G1432" i="1"/>
  <c r="F1429" i="1"/>
  <c r="G1623" i="1"/>
  <c r="I1422" i="1"/>
  <c r="F1536" i="1"/>
  <c r="G1545" i="1"/>
  <c r="I1667" i="1"/>
  <c r="I1465" i="1"/>
  <c r="F1668" i="1"/>
  <c r="I1569" i="1"/>
  <c r="I1570" i="1"/>
  <c r="I1571" i="1"/>
  <c r="F1707" i="1"/>
  <c r="I1724" i="1"/>
  <c r="G1475" i="1"/>
  <c r="F1643" i="1"/>
  <c r="I1499" i="1"/>
  <c r="F1456" i="1"/>
  <c r="F1462" i="1"/>
  <c r="I1618" i="1"/>
  <c r="I1821" i="1"/>
  <c r="F1531" i="1"/>
  <c r="G1618" i="1"/>
  <c r="F1457" i="1"/>
  <c r="G1447" i="1"/>
  <c r="I1623" i="1"/>
  <c r="F1555" i="1"/>
  <c r="F1463" i="1"/>
  <c r="I1587" i="1"/>
  <c r="G1470" i="1"/>
  <c r="G1483" i="1"/>
  <c r="F1547" i="1"/>
  <c r="G1707" i="1"/>
  <c r="G1784" i="1"/>
  <c r="G1555" i="1"/>
  <c r="F1446" i="1"/>
  <c r="G1497" i="1"/>
  <c r="I1497" i="1"/>
  <c r="F1688" i="1"/>
  <c r="I1692" i="1"/>
  <c r="G1443" i="1"/>
  <c r="F1449" i="1"/>
  <c r="G1587" i="1"/>
  <c r="G1422" i="1"/>
  <c r="F1618" i="1"/>
  <c r="G1698" i="1"/>
  <c r="F1474" i="1"/>
  <c r="F1784" i="1"/>
  <c r="F1422" i="1"/>
  <c r="I1468" i="1"/>
  <c r="F1634" i="1"/>
  <c r="G1457" i="1"/>
  <c r="I1531" i="1"/>
  <c r="G1688" i="1"/>
  <c r="I1432" i="1"/>
  <c r="G1695" i="1"/>
  <c r="I1443" i="1"/>
  <c r="G1624" i="1"/>
  <c r="I1797" i="1"/>
  <c r="G1634" i="1"/>
  <c r="I1433" i="1"/>
  <c r="F1659" i="1"/>
  <c r="G1451" i="1"/>
  <c r="F1797" i="1"/>
  <c r="I1684" i="1"/>
  <c r="I1695" i="1"/>
  <c r="G1547" i="1"/>
  <c r="I1660" i="1"/>
  <c r="G1795" i="1"/>
  <c r="I1691" i="1"/>
  <c r="G1480" i="1"/>
  <c r="I1474" i="1"/>
  <c r="I1534" i="1"/>
  <c r="F1795" i="1"/>
  <c r="I1495" i="1"/>
  <c r="F1495" i="1"/>
  <c r="G1554" i="1"/>
  <c r="F1807" i="1"/>
  <c r="I1784" i="1"/>
  <c r="I1466" i="1"/>
  <c r="F1497" i="1"/>
  <c r="I1629" i="1"/>
  <c r="F1817" i="1"/>
  <c r="G1531" i="1"/>
  <c r="I1720" i="1"/>
  <c r="G1644" i="1"/>
  <c r="F1450" i="1"/>
  <c r="F1445" i="1"/>
  <c r="I1555" i="1"/>
  <c r="G1788" i="1"/>
  <c r="F1721" i="1"/>
  <c r="I1451" i="1"/>
  <c r="G1659" i="1"/>
  <c r="I1690" i="1"/>
  <c r="I1645" i="1"/>
  <c r="I1462" i="1"/>
  <c r="I1471" i="1"/>
  <c r="G1797" i="1"/>
  <c r="I1807" i="1"/>
  <c r="I1545" i="1"/>
  <c r="F1631" i="1"/>
  <c r="G1569" i="1"/>
  <c r="G1570" i="1"/>
  <c r="G1571" i="1"/>
  <c r="I1688" i="1"/>
  <c r="F1710" i="1"/>
  <c r="I1628" i="1"/>
  <c r="F1483" i="1"/>
  <c r="G1577" i="1"/>
  <c r="F1661" i="1"/>
  <c r="G1683" i="1"/>
  <c r="G1720" i="1"/>
  <c r="I1429" i="1"/>
  <c r="I1536" i="1"/>
  <c r="G1721" i="1"/>
  <c r="G1798" i="1"/>
  <c r="I1498" i="1"/>
  <c r="F1451" i="1"/>
  <c r="F1431" i="1"/>
  <c r="G1414" i="1"/>
  <c r="F1628" i="1"/>
  <c r="F1471" i="1"/>
  <c r="G1456" i="1"/>
  <c r="F1534" i="1"/>
  <c r="F1798" i="1"/>
  <c r="F1660" i="1"/>
  <c r="I1659" i="1"/>
  <c r="G1600" i="1"/>
  <c r="I1576" i="1"/>
  <c r="F1470" i="1"/>
  <c r="G1484" i="1"/>
  <c r="I1447" i="1"/>
  <c r="F1629" i="1"/>
  <c r="I1683" i="1"/>
  <c r="G1630" i="1"/>
  <c r="I1577" i="1"/>
  <c r="G1690" i="1"/>
  <c r="G1429" i="1"/>
  <c r="G1463" i="1"/>
  <c r="I1484" i="1"/>
  <c r="F1444" i="1"/>
  <c r="G1445" i="1"/>
  <c r="F1645" i="1"/>
  <c r="F1569" i="1"/>
  <c r="F1570" i="1"/>
  <c r="F1571" i="1"/>
  <c r="G1821" i="1"/>
  <c r="I1463" i="1"/>
  <c r="G1647" i="1"/>
  <c r="I1554" i="1"/>
  <c r="G1820" i="1"/>
  <c r="I1624" i="1"/>
  <c r="G1817" i="1"/>
  <c r="G1661" i="1"/>
  <c r="G1498" i="1"/>
  <c r="G1785" i="1"/>
  <c r="G1495" i="1"/>
  <c r="F1475" i="1"/>
  <c r="I1586" i="1"/>
  <c r="F1644" i="1"/>
  <c r="I1788" i="1"/>
  <c r="I1698" i="1"/>
  <c r="I1475" i="1"/>
  <c r="G1462" i="1"/>
  <c r="F1725" i="1"/>
  <c r="F1788" i="1"/>
  <c r="G1692" i="1"/>
  <c r="F1667" i="1"/>
  <c r="G1536" i="1"/>
  <c r="F1820" i="1"/>
  <c r="F1785" i="1"/>
  <c r="F1685" i="1"/>
  <c r="I1456" i="1"/>
</calcChain>
</file>

<file path=xl/sharedStrings.xml><?xml version="1.0" encoding="utf-8"?>
<sst xmlns="http://schemas.openxmlformats.org/spreadsheetml/2006/main" count="3347" uniqueCount="669">
  <si>
    <t>Секция VI- Требования заказчика</t>
  </si>
  <si>
    <t>Объём поставки- Список No.2- Тепловые счетчики</t>
  </si>
  <si>
    <t>ЛЦ-Линия циркуляции</t>
  </si>
  <si>
    <t>Таблица И.1</t>
  </si>
  <si>
    <t>Коэффициент часовой неравномерности потребления горячей воды в жилых зданиях</t>
  </si>
  <si>
    <t>Число жителей чел.</t>
  </si>
  <si>
    <t>Коэффициент часовой неравномерности</t>
  </si>
  <si>
    <t>№№ пп</t>
  </si>
  <si>
    <t>Наименование абонента</t>
  </si>
  <si>
    <t>№ дома</t>
  </si>
  <si>
    <t>No. ИТП в доме</t>
  </si>
  <si>
    <t>Тепловые нагрузки, Гкал/час</t>
  </si>
  <si>
    <t>Отопление</t>
  </si>
  <si>
    <t>Горячее водосн.</t>
  </si>
  <si>
    <t>Qmax</t>
  </si>
  <si>
    <t>Qmin</t>
  </si>
  <si>
    <t>ЛЦ нет</t>
  </si>
  <si>
    <t>Qср.час 
Гкал/час</t>
  </si>
  <si>
    <t>Qср.мес 
Гкал/мес</t>
  </si>
  <si>
    <t>кол-во человек</t>
  </si>
  <si>
    <t>К циркул.</t>
  </si>
  <si>
    <t>К неравн.</t>
  </si>
  <si>
    <t>МАХ</t>
  </si>
  <si>
    <t>Т/ч</t>
  </si>
  <si>
    <t>мкр. 3</t>
  </si>
  <si>
    <t>мкр. 4</t>
  </si>
  <si>
    <t>4-а</t>
  </si>
  <si>
    <t>6-а</t>
  </si>
  <si>
    <t>6-б</t>
  </si>
  <si>
    <t>14-а</t>
  </si>
  <si>
    <t>14-б</t>
  </si>
  <si>
    <t>15-а</t>
  </si>
  <si>
    <t>19/1</t>
  </si>
  <si>
    <t>21</t>
  </si>
  <si>
    <t>22</t>
  </si>
  <si>
    <t>22-а</t>
  </si>
  <si>
    <t>26-а</t>
  </si>
  <si>
    <t>26-б</t>
  </si>
  <si>
    <t>30-а</t>
  </si>
  <si>
    <t>мкр. 5</t>
  </si>
  <si>
    <t>1/1</t>
  </si>
  <si>
    <t>2</t>
  </si>
  <si>
    <t>2/1</t>
  </si>
  <si>
    <t>3</t>
  </si>
  <si>
    <t>3/1</t>
  </si>
  <si>
    <t>4/1</t>
  </si>
  <si>
    <t>4/2</t>
  </si>
  <si>
    <t>5</t>
  </si>
  <si>
    <t>6</t>
  </si>
  <si>
    <t>6 подъезд с5 по 8</t>
  </si>
  <si>
    <t>7</t>
  </si>
  <si>
    <t>8</t>
  </si>
  <si>
    <t>9</t>
  </si>
  <si>
    <t>10/1</t>
  </si>
  <si>
    <t>11</t>
  </si>
  <si>
    <t>11/1</t>
  </si>
  <si>
    <t>12</t>
  </si>
  <si>
    <t>14</t>
  </si>
  <si>
    <t>15</t>
  </si>
  <si>
    <t>16/1</t>
  </si>
  <si>
    <t>17</t>
  </si>
  <si>
    <t>17-а</t>
  </si>
  <si>
    <t>18</t>
  </si>
  <si>
    <t>29/1</t>
  </si>
  <si>
    <t>30</t>
  </si>
  <si>
    <t>33</t>
  </si>
  <si>
    <t>34</t>
  </si>
  <si>
    <t>35</t>
  </si>
  <si>
    <t>36</t>
  </si>
  <si>
    <t>41</t>
  </si>
  <si>
    <t>42</t>
  </si>
  <si>
    <t>43</t>
  </si>
  <si>
    <t>44</t>
  </si>
  <si>
    <t>45</t>
  </si>
  <si>
    <t>46</t>
  </si>
  <si>
    <t>47</t>
  </si>
  <si>
    <t>55-а</t>
  </si>
  <si>
    <t>72/1</t>
  </si>
  <si>
    <t>82 блок А</t>
  </si>
  <si>
    <t>82 блок Б</t>
  </si>
  <si>
    <t>мкр. 6</t>
  </si>
  <si>
    <t>2/2</t>
  </si>
  <si>
    <t>4</t>
  </si>
  <si>
    <t>5-а</t>
  </si>
  <si>
    <t>7/1</t>
  </si>
  <si>
    <t>7-а</t>
  </si>
  <si>
    <t>8-а</t>
  </si>
  <si>
    <t>9/1</t>
  </si>
  <si>
    <t>10</t>
  </si>
  <si>
    <t>12/1</t>
  </si>
  <si>
    <t>13</t>
  </si>
  <si>
    <t>13/1</t>
  </si>
  <si>
    <t>14/1</t>
  </si>
  <si>
    <t>15/1</t>
  </si>
  <si>
    <t>16</t>
  </si>
  <si>
    <t>19</t>
  </si>
  <si>
    <t>20</t>
  </si>
  <si>
    <t>21-а</t>
  </si>
  <si>
    <t>23</t>
  </si>
  <si>
    <t>24</t>
  </si>
  <si>
    <t>25</t>
  </si>
  <si>
    <t>26</t>
  </si>
  <si>
    <t>27</t>
  </si>
  <si>
    <t>29</t>
  </si>
  <si>
    <t>31</t>
  </si>
  <si>
    <t>32</t>
  </si>
  <si>
    <t>32/1</t>
  </si>
  <si>
    <t>33/1</t>
  </si>
  <si>
    <t>34/1</t>
  </si>
  <si>
    <t>36/1</t>
  </si>
  <si>
    <t>38</t>
  </si>
  <si>
    <t>38/1</t>
  </si>
  <si>
    <t>38/2</t>
  </si>
  <si>
    <t>39</t>
  </si>
  <si>
    <t>40</t>
  </si>
  <si>
    <t>40/1</t>
  </si>
  <si>
    <t>мкр. 7</t>
  </si>
  <si>
    <t>10-а</t>
  </si>
  <si>
    <t>11-а</t>
  </si>
  <si>
    <t>23/2</t>
  </si>
  <si>
    <t>28</t>
  </si>
  <si>
    <t>5-б</t>
  </si>
  <si>
    <t>53-а</t>
  </si>
  <si>
    <t>53-б</t>
  </si>
  <si>
    <t>мкр. 8</t>
  </si>
  <si>
    <t>1/2</t>
  </si>
  <si>
    <t>29-а</t>
  </si>
  <si>
    <t>30-б</t>
  </si>
  <si>
    <t>30-в</t>
  </si>
  <si>
    <t>31-а</t>
  </si>
  <si>
    <t>31-б</t>
  </si>
  <si>
    <t>31-в</t>
  </si>
  <si>
    <t>46/1</t>
  </si>
  <si>
    <t>46/2</t>
  </si>
  <si>
    <t>мкр . 10</t>
  </si>
  <si>
    <t>17/1</t>
  </si>
  <si>
    <t>мкр. 11</t>
  </si>
  <si>
    <t>мкр. 12</t>
  </si>
  <si>
    <t>37</t>
  </si>
  <si>
    <t>56</t>
  </si>
  <si>
    <t>57</t>
  </si>
  <si>
    <t>58</t>
  </si>
  <si>
    <t>59</t>
  </si>
  <si>
    <t>мкр. Асанбай</t>
  </si>
  <si>
    <t>2-а</t>
  </si>
  <si>
    <t>8/3</t>
  </si>
  <si>
    <t>52-а</t>
  </si>
  <si>
    <t>78/4</t>
  </si>
  <si>
    <t>мкр. Кок-Жар</t>
  </si>
  <si>
    <t>9-а</t>
  </si>
  <si>
    <t>мкр Улан</t>
  </si>
  <si>
    <t>мкр. Юг-2</t>
  </si>
  <si>
    <t>Байтик Баатыра</t>
  </si>
  <si>
    <t>1-в</t>
  </si>
  <si>
    <t>1/4</t>
  </si>
  <si>
    <t>3-а</t>
  </si>
  <si>
    <t>3/2</t>
  </si>
  <si>
    <t>3-в</t>
  </si>
  <si>
    <t>3-б</t>
  </si>
  <si>
    <t>5-в</t>
  </si>
  <si>
    <t>17/2 блок А</t>
  </si>
  <si>
    <t>17/2 блок Б</t>
  </si>
  <si>
    <t>65</t>
  </si>
  <si>
    <t>67</t>
  </si>
  <si>
    <t>69</t>
  </si>
  <si>
    <t>71</t>
  </si>
  <si>
    <t>79</t>
  </si>
  <si>
    <t>73</t>
  </si>
  <si>
    <t>128</t>
  </si>
  <si>
    <t>ул.Бектенова</t>
  </si>
  <si>
    <t>1</t>
  </si>
  <si>
    <t>ул.Белорусская</t>
  </si>
  <si>
    <t>пер.Гвардейский</t>
  </si>
  <si>
    <t xml:space="preserve">пер.Геологический </t>
  </si>
  <si>
    <t>ул.М.Горького</t>
  </si>
  <si>
    <t>ул.Джантошева</t>
  </si>
  <si>
    <t>ул.Жукеева-Пудовкина</t>
  </si>
  <si>
    <t>43-а</t>
  </si>
  <si>
    <t xml:space="preserve">ул.Игембердиева </t>
  </si>
  <si>
    <t>ул.Л.Толстого</t>
  </si>
  <si>
    <t>ул.Карасаева</t>
  </si>
  <si>
    <t>ул.Кропоткина</t>
  </si>
  <si>
    <t>88-а</t>
  </si>
  <si>
    <t>ул.Кулатова</t>
  </si>
  <si>
    <t>ул.Матросова</t>
  </si>
  <si>
    <t>ул.Скрябина</t>
  </si>
  <si>
    <t>78-а</t>
  </si>
  <si>
    <t>ул.Суванбердиева</t>
  </si>
  <si>
    <t xml:space="preserve">ул.Фатьянова </t>
  </si>
  <si>
    <t>ул.Элебаева</t>
  </si>
  <si>
    <t>1-а</t>
  </si>
  <si>
    <t>1-б</t>
  </si>
  <si>
    <t>ул.Абая</t>
  </si>
  <si>
    <t>115/1</t>
  </si>
  <si>
    <t xml:space="preserve">ул.Ахунбаева </t>
  </si>
  <si>
    <t>94/1</t>
  </si>
  <si>
    <t>94/2</t>
  </si>
  <si>
    <t>96-а</t>
  </si>
  <si>
    <t>98-а</t>
  </si>
  <si>
    <t>98-б</t>
  </si>
  <si>
    <t>98-в</t>
  </si>
  <si>
    <t>106-а</t>
  </si>
  <si>
    <t>108-а</t>
  </si>
  <si>
    <t>110-а</t>
  </si>
  <si>
    <t>135-а</t>
  </si>
  <si>
    <t>139-а</t>
  </si>
  <si>
    <t>187-а</t>
  </si>
  <si>
    <t>189-а</t>
  </si>
  <si>
    <t>ул.Айни</t>
  </si>
  <si>
    <t>20-а</t>
  </si>
  <si>
    <t xml:space="preserve">ул.Балтагулова </t>
  </si>
  <si>
    <t>ул.Джаманбаева</t>
  </si>
  <si>
    <t>ул.Джунусалиева</t>
  </si>
  <si>
    <t>62</t>
  </si>
  <si>
    <t>64</t>
  </si>
  <si>
    <t>66</t>
  </si>
  <si>
    <t>72</t>
  </si>
  <si>
    <t>78</t>
  </si>
  <si>
    <t>80</t>
  </si>
  <si>
    <t>82</t>
  </si>
  <si>
    <t>84</t>
  </si>
  <si>
    <t xml:space="preserve">ул.Малдыбаева </t>
  </si>
  <si>
    <t>36-а</t>
  </si>
  <si>
    <t>36-б</t>
  </si>
  <si>
    <t>38-а</t>
  </si>
  <si>
    <t>40-а</t>
  </si>
  <si>
    <t>42-а</t>
  </si>
  <si>
    <t xml:space="preserve">пр-т Мира </t>
  </si>
  <si>
    <t>47-а</t>
  </si>
  <si>
    <t>ул.Политехническая</t>
  </si>
  <si>
    <t>ул.Саманчина</t>
  </si>
  <si>
    <t>7-б</t>
  </si>
  <si>
    <t>10 блок А</t>
  </si>
  <si>
    <t>10 блок Б</t>
  </si>
  <si>
    <t xml:space="preserve">ул.Севастопольская </t>
  </si>
  <si>
    <t>ул.Суеркулова</t>
  </si>
  <si>
    <t>4-б</t>
  </si>
  <si>
    <t>8/1</t>
  </si>
  <si>
    <t>ул.Сухомлинова</t>
  </si>
  <si>
    <t>24-а</t>
  </si>
  <si>
    <t xml:space="preserve">ул.Токтоналиева </t>
  </si>
  <si>
    <t>6, 6-а</t>
  </si>
  <si>
    <t>6-в</t>
  </si>
  <si>
    <t>42, 48</t>
  </si>
  <si>
    <t>80/2</t>
  </si>
  <si>
    <t>ул.Тыныстанова</t>
  </si>
  <si>
    <t>8-б</t>
  </si>
  <si>
    <t>20-б</t>
  </si>
  <si>
    <t>ул.Фурманова</t>
  </si>
  <si>
    <t>ул.Шота Руставели</t>
  </si>
  <si>
    <t>48</t>
  </si>
  <si>
    <t>52</t>
  </si>
  <si>
    <t>54</t>
  </si>
  <si>
    <t>54-а</t>
  </si>
  <si>
    <t>60</t>
  </si>
  <si>
    <t>93</t>
  </si>
  <si>
    <t>95</t>
  </si>
  <si>
    <t>97</t>
  </si>
  <si>
    <t>103-а</t>
  </si>
  <si>
    <t>105</t>
  </si>
  <si>
    <t>105-а</t>
  </si>
  <si>
    <t>109</t>
  </si>
  <si>
    <t>111</t>
  </si>
  <si>
    <t>113</t>
  </si>
  <si>
    <t>ул.Шакирова</t>
  </si>
  <si>
    <t>мкр.Аламедин-1;</t>
  </si>
  <si>
    <t>55/2</t>
  </si>
  <si>
    <t>59/2</t>
  </si>
  <si>
    <t xml:space="preserve">мкр.Аламедин-1;  ул.Ауэзова </t>
  </si>
  <si>
    <t>мкр.Аламедин-1;  ул.Загорская</t>
  </si>
  <si>
    <t>ул.Абдрахманова</t>
  </si>
  <si>
    <t>105/1</t>
  </si>
  <si>
    <t>105/2</t>
  </si>
  <si>
    <t>105/3</t>
  </si>
  <si>
    <t>ул.Боконбаева;</t>
  </si>
  <si>
    <t xml:space="preserve">мкр.Восток-5; </t>
  </si>
  <si>
    <t>1/3</t>
  </si>
  <si>
    <t>2/3</t>
  </si>
  <si>
    <t>3/3</t>
  </si>
  <si>
    <t>4/3</t>
  </si>
  <si>
    <t>5/2 блок 1</t>
  </si>
  <si>
    <t>5/2 блок 2</t>
  </si>
  <si>
    <t>5/3</t>
  </si>
  <si>
    <t>6/2</t>
  </si>
  <si>
    <t>6/3</t>
  </si>
  <si>
    <t>7/2</t>
  </si>
  <si>
    <t>7/3</t>
  </si>
  <si>
    <t>8/2 блок 1</t>
  </si>
  <si>
    <t>8/2 блок 2</t>
  </si>
  <si>
    <t>9/2</t>
  </si>
  <si>
    <t>10/2 бдок 1</t>
  </si>
  <si>
    <t>10/2 бдок 2</t>
  </si>
  <si>
    <t>10/2 бдок 3</t>
  </si>
  <si>
    <t>11/2 блок 1</t>
  </si>
  <si>
    <t>11/2 блок 2</t>
  </si>
  <si>
    <t>12/2 блок 1</t>
  </si>
  <si>
    <t>12/2 блок 2</t>
  </si>
  <si>
    <t>12/2 блок 3</t>
  </si>
  <si>
    <t>13/2</t>
  </si>
  <si>
    <t>14/2</t>
  </si>
  <si>
    <t>15/2</t>
  </si>
  <si>
    <t>16/2</t>
  </si>
  <si>
    <t>17/2</t>
  </si>
  <si>
    <t>18/2</t>
  </si>
  <si>
    <t>24/2</t>
  </si>
  <si>
    <t>24-б</t>
  </si>
  <si>
    <t>24-в</t>
  </si>
  <si>
    <t>25-а</t>
  </si>
  <si>
    <t>25-б</t>
  </si>
  <si>
    <t>ул.Гоголя ;</t>
  </si>
  <si>
    <t>96</t>
  </si>
  <si>
    <t>112</t>
  </si>
  <si>
    <t>114</t>
  </si>
  <si>
    <t>116</t>
  </si>
  <si>
    <t>127</t>
  </si>
  <si>
    <t>179</t>
  </si>
  <si>
    <t xml:space="preserve">ул.Герцена  ;      </t>
  </si>
  <si>
    <t>49</t>
  </si>
  <si>
    <t xml:space="preserve">ул.Жибек-Жолу;    </t>
  </si>
  <si>
    <t>220</t>
  </si>
  <si>
    <t>222</t>
  </si>
  <si>
    <t>ул. Жумабека;</t>
  </si>
  <si>
    <t xml:space="preserve">ул.Зеленая, </t>
  </si>
  <si>
    <t>1 блок А</t>
  </si>
  <si>
    <t>1 блок Б</t>
  </si>
  <si>
    <t>1 блок В</t>
  </si>
  <si>
    <t>5 блок А</t>
  </si>
  <si>
    <t>5 блок Б</t>
  </si>
  <si>
    <t>7 блок 1</t>
  </si>
  <si>
    <t>7 блок 2</t>
  </si>
  <si>
    <t xml:space="preserve">ул.Ибраимова      </t>
  </si>
  <si>
    <t>108-б</t>
  </si>
  <si>
    <t>146-а</t>
  </si>
  <si>
    <t>ул.Куйбышева</t>
  </si>
  <si>
    <t xml:space="preserve">ул.Курманжан датка  ; </t>
  </si>
  <si>
    <t xml:space="preserve">ул.Кольбаева ;  </t>
  </si>
  <si>
    <t>18-а</t>
  </si>
  <si>
    <t xml:space="preserve">ул.Лермонтова  ; </t>
  </si>
  <si>
    <t>гвс нет</t>
  </si>
  <si>
    <t>пр.Ленина,</t>
  </si>
  <si>
    <t xml:space="preserve">ул.Московская; </t>
  </si>
  <si>
    <t>41-а</t>
  </si>
  <si>
    <t xml:space="preserve">ул.Огомбаева  </t>
  </si>
  <si>
    <t xml:space="preserve">ул.Осмонкула ; </t>
  </si>
  <si>
    <t xml:space="preserve">ул.Сагымбая Манасчы;          </t>
  </si>
  <si>
    <t>ул.Салиева  ;</t>
  </si>
  <si>
    <t xml:space="preserve">ул. Семашко ;       </t>
  </si>
  <si>
    <t xml:space="preserve">ул. Суюмбаева  ;   </t>
  </si>
  <si>
    <t xml:space="preserve">мкр.Тунгуч, </t>
  </si>
  <si>
    <t>34-а</t>
  </si>
  <si>
    <t>36 блок 2</t>
  </si>
  <si>
    <t xml:space="preserve">ул.Токтогула         </t>
  </si>
  <si>
    <t xml:space="preserve">ул.Усенбаева;  </t>
  </si>
  <si>
    <t xml:space="preserve">ул. Фрунзе ;      </t>
  </si>
  <si>
    <t>425т</t>
  </si>
  <si>
    <t>425/4</t>
  </si>
  <si>
    <t xml:space="preserve">ул.Чуйкова ; </t>
  </si>
  <si>
    <t xml:space="preserve">ул.Чокморова ;  </t>
  </si>
  <si>
    <t xml:space="preserve">пр.Чуй </t>
  </si>
  <si>
    <t>30 (5-и , 9-и эт. дома)</t>
  </si>
  <si>
    <t>30 (12-и эт. дома)</t>
  </si>
  <si>
    <t>32(5-и , 9-и эт. дома)</t>
  </si>
  <si>
    <t>32 (12-и эт. дома)</t>
  </si>
  <si>
    <t>34 (5-и , 9-и эт. дома)</t>
  </si>
  <si>
    <t>34 (12-и эт. дома)</t>
  </si>
  <si>
    <t>36 (5-и , 9-и эт. дома)</t>
  </si>
  <si>
    <t>36(12-и эт. дома)</t>
  </si>
  <si>
    <t>45/1</t>
  </si>
  <si>
    <t>47/1</t>
  </si>
  <si>
    <t>115-а</t>
  </si>
  <si>
    <t xml:space="preserve">ул.Шопокова       </t>
  </si>
  <si>
    <t xml:space="preserve">ул.Эсенгула Ибраева.;         </t>
  </si>
  <si>
    <t>4 блок 2</t>
  </si>
  <si>
    <t>71/1</t>
  </si>
  <si>
    <t>71/2</t>
  </si>
  <si>
    <t xml:space="preserve">г.Энергетиков, </t>
  </si>
  <si>
    <t>12-а</t>
  </si>
  <si>
    <t>13-а</t>
  </si>
  <si>
    <t xml:space="preserve">ул.Ялтинская ;          </t>
  </si>
  <si>
    <t xml:space="preserve"> ул.Айтматова ; </t>
  </si>
  <si>
    <t xml:space="preserve">Абдымомунова  </t>
  </si>
  <si>
    <t>К.Акиева</t>
  </si>
  <si>
    <t xml:space="preserve">Бейшеналиевой </t>
  </si>
  <si>
    <t>Боконбаева</t>
  </si>
  <si>
    <t>Киевская</t>
  </si>
  <si>
    <t>248-а</t>
  </si>
  <si>
    <t>Кулиева</t>
  </si>
  <si>
    <t xml:space="preserve">Манаса </t>
  </si>
  <si>
    <t>2-б</t>
  </si>
  <si>
    <t>М.Гвардии</t>
  </si>
  <si>
    <t>32-а</t>
  </si>
  <si>
    <t>38-б</t>
  </si>
  <si>
    <t>Московская</t>
  </si>
  <si>
    <t>186-а</t>
  </si>
  <si>
    <t xml:space="preserve">      </t>
  </si>
  <si>
    <t>М.Сагымбая</t>
  </si>
  <si>
    <t xml:space="preserve">Сыдыкова </t>
  </si>
  <si>
    <t>250-а</t>
  </si>
  <si>
    <t xml:space="preserve">Табышалиева </t>
  </si>
  <si>
    <t xml:space="preserve">Тимирязева </t>
  </si>
  <si>
    <t>65-а</t>
  </si>
  <si>
    <t>Токтогула</t>
  </si>
  <si>
    <t>Турусбекова</t>
  </si>
  <si>
    <t>Уметалиева</t>
  </si>
  <si>
    <t>101-а</t>
  </si>
  <si>
    <t xml:space="preserve">Фучика </t>
  </si>
  <si>
    <t>Чокморова</t>
  </si>
  <si>
    <t xml:space="preserve">пр. Чуй </t>
  </si>
  <si>
    <t xml:space="preserve">Шевченко </t>
  </si>
  <si>
    <t xml:space="preserve">Абдрахманова Ю. </t>
  </si>
  <si>
    <t xml:space="preserve">Ала-Арчинская </t>
  </si>
  <si>
    <t xml:space="preserve">Асановой Динары                      </t>
  </si>
  <si>
    <t xml:space="preserve">Баетова М.                              </t>
  </si>
  <si>
    <t>Жибек Жолу</t>
  </si>
  <si>
    <t>462-а</t>
  </si>
  <si>
    <t xml:space="preserve">Жумабек </t>
  </si>
  <si>
    <t xml:space="preserve">Исанова Н. </t>
  </si>
  <si>
    <t>2-в</t>
  </si>
  <si>
    <t>2-г</t>
  </si>
  <si>
    <t xml:space="preserve"> 24 (18-ти кв.ж.д)</t>
  </si>
  <si>
    <t xml:space="preserve"> 24 (30-ти кв.ж.д)</t>
  </si>
  <si>
    <t xml:space="preserve">Кекол                                 </t>
  </si>
  <si>
    <t>Керимбекова К.</t>
  </si>
  <si>
    <t xml:space="preserve">Киевская </t>
  </si>
  <si>
    <t>95-а</t>
  </si>
  <si>
    <t xml:space="preserve">Коенкозова А. </t>
  </si>
  <si>
    <t xml:space="preserve">Логвиненко </t>
  </si>
  <si>
    <t>Манаса пр.</t>
  </si>
  <si>
    <t>Молодой Гвардии бул.</t>
  </si>
  <si>
    <t xml:space="preserve">Московская </t>
  </si>
  <si>
    <t>163-а</t>
  </si>
  <si>
    <t>Орозбекова</t>
  </si>
  <si>
    <t>Панфилова</t>
  </si>
  <si>
    <t>164-а</t>
  </si>
  <si>
    <t xml:space="preserve">Раззакова                              </t>
  </si>
  <si>
    <t xml:space="preserve">Рыскулова </t>
  </si>
  <si>
    <t>Сагымбая манасчи</t>
  </si>
  <si>
    <t>Ташкентская</t>
  </si>
  <si>
    <t xml:space="preserve">Тоголок Молдо </t>
  </si>
  <si>
    <t>170 блок 1</t>
  </si>
  <si>
    <t>170 блок 2</t>
  </si>
  <si>
    <t>170 блок 3</t>
  </si>
  <si>
    <t>170-а</t>
  </si>
  <si>
    <t>Туголбай Ата</t>
  </si>
  <si>
    <t xml:space="preserve">Тыныстанова К. </t>
  </si>
  <si>
    <t>64-а</t>
  </si>
  <si>
    <t>209-а</t>
  </si>
  <si>
    <t>Фрунзе Михаила</t>
  </si>
  <si>
    <t>пр. Чуй</t>
  </si>
  <si>
    <t xml:space="preserve">Чуйкова С.                            </t>
  </si>
  <si>
    <t>Эркиндик бул.</t>
  </si>
  <si>
    <t>Адрес</t>
  </si>
  <si>
    <t>№ ИТП</t>
  </si>
  <si>
    <t>Макс. час. нагр., и минимальные Гкал/час</t>
  </si>
  <si>
    <t>Абдрахманова Ю.</t>
  </si>
  <si>
    <t>176/1</t>
  </si>
  <si>
    <t xml:space="preserve">Абдымомунова Т. </t>
  </si>
  <si>
    <t>305-а</t>
  </si>
  <si>
    <t>Жибек Жолу пр</t>
  </si>
  <si>
    <t>286/1</t>
  </si>
  <si>
    <t>Исанова Н.</t>
  </si>
  <si>
    <t>33 блок 1</t>
  </si>
  <si>
    <t>33 блок 2</t>
  </si>
  <si>
    <t>42/1 (6 эт)</t>
  </si>
  <si>
    <t>42/1 (9 эт)</t>
  </si>
  <si>
    <t xml:space="preserve">Керимбекова К. </t>
  </si>
  <si>
    <t>114/2 блок А.Б</t>
  </si>
  <si>
    <t>114/2 блок В,Г</t>
  </si>
  <si>
    <t>114/2 блок Д</t>
  </si>
  <si>
    <t>21/2</t>
  </si>
  <si>
    <t>24/1</t>
  </si>
  <si>
    <t>8/2</t>
  </si>
  <si>
    <t>61</t>
  </si>
  <si>
    <t>64/1</t>
  </si>
  <si>
    <t>Молодой Гвардии бул</t>
  </si>
  <si>
    <t>143</t>
  </si>
  <si>
    <t>147</t>
  </si>
  <si>
    <t>160/1</t>
  </si>
  <si>
    <t>163-б</t>
  </si>
  <si>
    <t>163-в</t>
  </si>
  <si>
    <t>146</t>
  </si>
  <si>
    <t>153</t>
  </si>
  <si>
    <t>188/1 блок А</t>
  </si>
  <si>
    <t>188/1 блок Б</t>
  </si>
  <si>
    <t>188/2 блок А</t>
  </si>
  <si>
    <t>188/2 блок Б</t>
  </si>
  <si>
    <t>190/1 блок 1</t>
  </si>
  <si>
    <t>200-а</t>
  </si>
  <si>
    <t>Раззакова</t>
  </si>
  <si>
    <t>33/2</t>
  </si>
  <si>
    <t>Рыскулова</t>
  </si>
  <si>
    <t xml:space="preserve">Сыдыкова А.  </t>
  </si>
  <si>
    <t>Табышалиева С.</t>
  </si>
  <si>
    <t>40/3</t>
  </si>
  <si>
    <t xml:space="preserve">Токтогула </t>
  </si>
  <si>
    <t>86/1</t>
  </si>
  <si>
    <t>87/2</t>
  </si>
  <si>
    <t>102, 104</t>
  </si>
  <si>
    <t>116 Блок А(3-8 эт)</t>
  </si>
  <si>
    <t>116 Блок А(9-13 эт)</t>
  </si>
  <si>
    <t>116 Блок Б(2-8 эт)</t>
  </si>
  <si>
    <t>116 Блок Б(9-13 эт)</t>
  </si>
  <si>
    <t>228/1</t>
  </si>
  <si>
    <t xml:space="preserve">Турусбекова  </t>
  </si>
  <si>
    <t>124/1</t>
  </si>
  <si>
    <t>82/1</t>
  </si>
  <si>
    <t>62/1</t>
  </si>
  <si>
    <t xml:space="preserve"> 94 (2-7 этаж)</t>
  </si>
  <si>
    <t xml:space="preserve"> 94 (8-12 этаж)</t>
  </si>
  <si>
    <t>189/1</t>
  </si>
  <si>
    <t>197/1</t>
  </si>
  <si>
    <t xml:space="preserve">Уметалиева Т. </t>
  </si>
  <si>
    <t>41 (5 эт)</t>
  </si>
  <si>
    <t>41 (9 эт)</t>
  </si>
  <si>
    <t>99/1</t>
  </si>
  <si>
    <t xml:space="preserve">Фрунзе Михаила </t>
  </si>
  <si>
    <t>364/3</t>
  </si>
  <si>
    <t>260/1</t>
  </si>
  <si>
    <t xml:space="preserve">пр. Чуй  </t>
  </si>
  <si>
    <t>245 блок 1</t>
  </si>
  <si>
    <t>245 блок 2</t>
  </si>
  <si>
    <t>Чуйкова С.</t>
  </si>
  <si>
    <t>134/1</t>
  </si>
  <si>
    <t>134/2</t>
  </si>
  <si>
    <t>94-а</t>
  </si>
  <si>
    <t>Шевченко</t>
  </si>
  <si>
    <t xml:space="preserve">Эркиндик </t>
  </si>
  <si>
    <t>30/1</t>
  </si>
  <si>
    <t>Узлы учета в домах, где будут установлены новые ИТП</t>
  </si>
  <si>
    <t xml:space="preserve">
Адрес здания</t>
  </si>
  <si>
    <t>Qmax отопл.</t>
  </si>
  <si>
    <t>Qmin отоп.</t>
  </si>
  <si>
    <t>Qmax гвс</t>
  </si>
  <si>
    <t>Qmin гвс</t>
  </si>
  <si>
    <t>Учкун мкр.</t>
  </si>
  <si>
    <t>Городок Строителей</t>
  </si>
  <si>
    <t>Тунгуч мкр.</t>
  </si>
  <si>
    <t>Кольбаева ул.</t>
  </si>
  <si>
    <t>Мичурина ул.</t>
  </si>
  <si>
    <t>126-а</t>
  </si>
  <si>
    <t xml:space="preserve">Никитина ул.                          </t>
  </si>
  <si>
    <t>Салиевой ул.</t>
  </si>
  <si>
    <t>Чуй пр.</t>
  </si>
  <si>
    <t>Ибраимова С. ул.</t>
  </si>
  <si>
    <t>Герцена ул.</t>
  </si>
  <si>
    <t xml:space="preserve">Московская ул.  </t>
  </si>
  <si>
    <t xml:space="preserve">Токтогула ул. </t>
  </si>
  <si>
    <t>64-б</t>
  </si>
  <si>
    <t>Октябрьская ул.</t>
  </si>
  <si>
    <t>16-а</t>
  </si>
  <si>
    <t>16-б</t>
  </si>
  <si>
    <t>Киевская ул</t>
  </si>
  <si>
    <t>Куйбышева ул.</t>
  </si>
  <si>
    <t>Гоголя ул</t>
  </si>
  <si>
    <t>28-а</t>
  </si>
  <si>
    <t xml:space="preserve">Московская ул  </t>
  </si>
  <si>
    <t>41-б</t>
  </si>
  <si>
    <t xml:space="preserve">Шопокова </t>
  </si>
  <si>
    <t xml:space="preserve">г. Энергетиков </t>
  </si>
  <si>
    <t>Восток-5 мкр.</t>
  </si>
  <si>
    <t xml:space="preserve">Абдрахманова Ю. ул. </t>
  </si>
  <si>
    <t xml:space="preserve">Гоголя ул. </t>
  </si>
  <si>
    <t>Московская ул.</t>
  </si>
  <si>
    <t>56/2</t>
  </si>
  <si>
    <t>ул. Айтматова Т.</t>
  </si>
  <si>
    <t>101/1</t>
  </si>
  <si>
    <t>г. Энергетиков</t>
  </si>
  <si>
    <t>8, 10</t>
  </si>
  <si>
    <t>Буденного ул.</t>
  </si>
  <si>
    <t>77-а, 87-а, 87-б, 91-а, 91-б</t>
  </si>
  <si>
    <t>95-а, 99-а, 100-а, 100-б, 103-а</t>
  </si>
  <si>
    <t>КМ Адилет 10 зданий</t>
  </si>
  <si>
    <t>36 блок В</t>
  </si>
  <si>
    <t>36 блок А</t>
  </si>
  <si>
    <t xml:space="preserve">Абдрахманова  </t>
  </si>
  <si>
    <t>Ала-Арчинская</t>
  </si>
  <si>
    <t>28а</t>
  </si>
  <si>
    <t>Бейшеналиева</t>
  </si>
  <si>
    <t>29а</t>
  </si>
  <si>
    <t>Ден Сяопина</t>
  </si>
  <si>
    <t>Исанова</t>
  </si>
  <si>
    <t>98</t>
  </si>
  <si>
    <t>Керимбекова</t>
  </si>
  <si>
    <t xml:space="preserve">М.Гвардия </t>
  </si>
  <si>
    <t>75</t>
  </si>
  <si>
    <t>126</t>
  </si>
  <si>
    <t>184</t>
  </si>
  <si>
    <t>209</t>
  </si>
  <si>
    <t>268/3</t>
  </si>
  <si>
    <t>6а</t>
  </si>
  <si>
    <t>152</t>
  </si>
  <si>
    <t>203</t>
  </si>
  <si>
    <t>Пушкина</t>
  </si>
  <si>
    <t>211</t>
  </si>
  <si>
    <t>Сагынбая</t>
  </si>
  <si>
    <t>Табышалиева</t>
  </si>
  <si>
    <t>55</t>
  </si>
  <si>
    <t>Т-Молдо</t>
  </si>
  <si>
    <t>129</t>
  </si>
  <si>
    <t>161</t>
  </si>
  <si>
    <t>230</t>
  </si>
  <si>
    <t>232</t>
  </si>
  <si>
    <t>Тыныстанова</t>
  </si>
  <si>
    <t>219</t>
  </si>
  <si>
    <t>Фучика</t>
  </si>
  <si>
    <t>18-а 1к</t>
  </si>
  <si>
    <t>18-а 2к</t>
  </si>
  <si>
    <t>18-б</t>
  </si>
  <si>
    <t>18-в</t>
  </si>
  <si>
    <t>18-г</t>
  </si>
  <si>
    <t>20/2</t>
  </si>
  <si>
    <t>Чуй</t>
  </si>
  <si>
    <t>100</t>
  </si>
  <si>
    <t>142</t>
  </si>
  <si>
    <t>Эркиндик</t>
  </si>
  <si>
    <t>Туголбай-Ата</t>
  </si>
  <si>
    <t xml:space="preserve">М. Гвардия </t>
  </si>
  <si>
    <t>140,142,144</t>
  </si>
  <si>
    <t>186,186-а</t>
  </si>
  <si>
    <t>242,244</t>
  </si>
  <si>
    <t>23-а,23-б</t>
  </si>
  <si>
    <t xml:space="preserve">Б - Баатыра </t>
  </si>
  <si>
    <t xml:space="preserve">м-н №4 </t>
  </si>
  <si>
    <t>м-н №7</t>
  </si>
  <si>
    <t>Белорусская</t>
  </si>
  <si>
    <t xml:space="preserve">Горького </t>
  </si>
  <si>
    <t>48/1</t>
  </si>
  <si>
    <t>Скрябина</t>
  </si>
  <si>
    <t>76</t>
  </si>
  <si>
    <t>Б-Баатыра</t>
  </si>
  <si>
    <t>13-б</t>
  </si>
  <si>
    <t>Медерова</t>
  </si>
  <si>
    <t>ул. Элебаева</t>
  </si>
  <si>
    <t xml:space="preserve">м-н № 8 </t>
  </si>
  <si>
    <t>3/4</t>
  </si>
  <si>
    <t>Суеркулова,</t>
  </si>
  <si>
    <t>91-б</t>
  </si>
  <si>
    <t>Фатьянова</t>
  </si>
  <si>
    <t xml:space="preserve">Л - Толстого </t>
  </si>
  <si>
    <t xml:space="preserve">м-н № 6 </t>
  </si>
  <si>
    <t>м-н № 4</t>
  </si>
  <si>
    <t xml:space="preserve">м-н "Асанбай" </t>
  </si>
  <si>
    <t>78/2</t>
  </si>
  <si>
    <t>78/3</t>
  </si>
  <si>
    <t>Б - Баатыра</t>
  </si>
  <si>
    <t>17/1 блок А</t>
  </si>
  <si>
    <t>17/1 блок Б</t>
  </si>
  <si>
    <t xml:space="preserve">ул. Тыныстанова </t>
  </si>
  <si>
    <t>ул. Малдыбаева</t>
  </si>
  <si>
    <t xml:space="preserve">ул. Ахунбаева </t>
  </si>
  <si>
    <t>96-б</t>
  </si>
  <si>
    <t>м-н №10</t>
  </si>
  <si>
    <t>ул. Фатьянова</t>
  </si>
  <si>
    <t>ул. Абая</t>
  </si>
  <si>
    <t>56/1</t>
  </si>
  <si>
    <t>58/1</t>
  </si>
  <si>
    <t>ул. Панфилова</t>
  </si>
  <si>
    <t>проспект Мира</t>
  </si>
  <si>
    <t xml:space="preserve">ул. Табалдиева </t>
  </si>
  <si>
    <t xml:space="preserve">ул. Медерова </t>
  </si>
  <si>
    <t xml:space="preserve">проспект Мира </t>
  </si>
  <si>
    <t>24- а</t>
  </si>
  <si>
    <t>130, 130-а, 132-а</t>
  </si>
  <si>
    <t>30, 32, 34</t>
  </si>
  <si>
    <t>38, 40, 42</t>
  </si>
  <si>
    <t xml:space="preserve">ул. Джунусалиева </t>
  </si>
  <si>
    <t>ул. Шота Руставели</t>
  </si>
  <si>
    <t xml:space="preserve"> В связи с  вводом в действие  «Методики по расчету  потребности тепловой  энергии зданий», утвержденной приказом Государственного комитета промышленности, энергетики и недропользования при Правительстве  Кыргызской Республики от 5 марта 2018 года № 1/1, максимально присоединенные нагрузки возможно будут изменеы.</t>
  </si>
  <si>
    <t>Изменен адрес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</si>
</sst>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0.000000"/>
    <numFmt numFmtId="166" formatCode="#,##0.000000"/>
    <numFmt numFmtId="167" formatCode="_-* #,##0.000000_р_._-;\-* #,##0.00000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7" fillId="0" borderId="0"/>
  </cellStyleXfs>
  <cellXfs count="123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/>
    <xf numFmtId="0" fontId="2" fillId="0" borderId="0" xfId="0" applyFont="1" applyFill="1" applyBorder="1" applyAlignment="1"/>
    <xf numFmtId="165" fontId="2" fillId="0" borderId="0" xfId="0" applyNumberFormat="1" applyFont="1" applyFill="1" applyBorder="1"/>
    <xf numFmtId="166" fontId="2" fillId="0" borderId="0" xfId="0" applyNumberFormat="1" applyFont="1" applyFill="1" applyBorder="1"/>
    <xf numFmtId="1" fontId="2" fillId="0" borderId="0" xfId="0" applyNumberFormat="1" applyFont="1" applyFill="1"/>
    <xf numFmtId="4" fontId="2" fillId="0" borderId="0" xfId="0" applyNumberFormat="1" applyFont="1" applyFill="1"/>
    <xf numFmtId="0" fontId="2" fillId="0" borderId="0" xfId="0" applyFont="1" applyAlignment="1"/>
    <xf numFmtId="0" fontId="2" fillId="2" borderId="0" xfId="0" applyFont="1" applyFill="1" applyAlignment="1"/>
    <xf numFmtId="166" fontId="0" fillId="0" borderId="0" xfId="0" applyNumberFormat="1" applyFill="1" applyBorder="1"/>
    <xf numFmtId="0" fontId="3" fillId="0" borderId="0" xfId="0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0" fontId="0" fillId="0" borderId="0" xfId="0" applyFill="1"/>
    <xf numFmtId="0" fontId="2" fillId="0" borderId="0" xfId="0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left" vertical="center" wrapText="1"/>
    </xf>
    <xf numFmtId="165" fontId="2" fillId="0" borderId="18" xfId="0" applyNumberFormat="1" applyFont="1" applyFill="1" applyBorder="1" applyAlignment="1">
      <alignment horizontal="center"/>
    </xf>
    <xf numFmtId="165" fontId="2" fillId="0" borderId="19" xfId="0" applyNumberFormat="1" applyFont="1" applyFill="1" applyBorder="1" applyAlignment="1">
      <alignment horizontal="center"/>
    </xf>
    <xf numFmtId="165" fontId="2" fillId="0" borderId="10" xfId="0" applyNumberFormat="1" applyFont="1" applyFill="1" applyBorder="1"/>
    <xf numFmtId="166" fontId="2" fillId="0" borderId="10" xfId="0" applyNumberFormat="1" applyFont="1" applyFill="1" applyBorder="1"/>
    <xf numFmtId="0" fontId="2" fillId="0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vertical="center" wrapText="1"/>
    </xf>
    <xf numFmtId="165" fontId="2" fillId="0" borderId="10" xfId="0" applyNumberFormat="1" applyFont="1" applyFill="1" applyBorder="1" applyAlignment="1">
      <alignment horizontal="center"/>
    </xf>
    <xf numFmtId="165" fontId="2" fillId="0" borderId="20" xfId="0" applyNumberFormat="1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wrapText="1"/>
    </xf>
    <xf numFmtId="0" fontId="2" fillId="0" borderId="10" xfId="0" applyFont="1" applyFill="1" applyBorder="1" applyAlignment="1">
      <alignment horizontal="center" wrapText="1"/>
    </xf>
    <xf numFmtId="49" fontId="2" fillId="0" borderId="10" xfId="0" applyNumberFormat="1" applyFont="1" applyFill="1" applyBorder="1" applyAlignment="1">
      <alignment horizontal="center" wrapText="1"/>
    </xf>
    <xf numFmtId="49" fontId="2" fillId="0" borderId="1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 applyAlignment="1">
      <alignment horizontal="center" vertical="center"/>
    </xf>
    <xf numFmtId="165" fontId="2" fillId="0" borderId="2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 wrapText="1"/>
    </xf>
    <xf numFmtId="0" fontId="2" fillId="0" borderId="10" xfId="0" applyFont="1" applyFill="1" applyBorder="1"/>
    <xf numFmtId="0" fontId="2" fillId="0" borderId="10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NumberFormat="1" applyFont="1" applyFill="1" applyBorder="1"/>
    <xf numFmtId="0" fontId="2" fillId="0" borderId="10" xfId="2" applyFont="1" applyFill="1" applyBorder="1" applyAlignment="1">
      <alignment horizontal="center" wrapText="1"/>
    </xf>
    <xf numFmtId="0" fontId="2" fillId="0" borderId="0" xfId="0" applyNumberFormat="1" applyFont="1" applyFill="1" applyBorder="1"/>
    <xf numFmtId="0" fontId="2" fillId="3" borderId="0" xfId="0" applyFont="1" applyFill="1"/>
    <xf numFmtId="0" fontId="2" fillId="3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wrapText="1"/>
    </xf>
    <xf numFmtId="0" fontId="2" fillId="4" borderId="10" xfId="0" applyFont="1" applyFill="1" applyBorder="1" applyAlignment="1">
      <alignment wrapText="1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0" xfId="0" applyFont="1" applyFill="1" applyBorder="1"/>
    <xf numFmtId="0" fontId="2" fillId="0" borderId="18" xfId="0" applyFont="1" applyFill="1" applyBorder="1" applyAlignment="1">
      <alignment wrapText="1"/>
    </xf>
    <xf numFmtId="0" fontId="2" fillId="0" borderId="18" xfId="0" applyFont="1" applyFill="1" applyBorder="1" applyAlignment="1">
      <alignment horizontal="center" wrapText="1"/>
    </xf>
    <xf numFmtId="167" fontId="2" fillId="0" borderId="10" xfId="1" applyNumberFormat="1" applyFont="1" applyFill="1" applyBorder="1" applyAlignment="1"/>
    <xf numFmtId="167" fontId="2" fillId="0" borderId="10" xfId="0" applyNumberFormat="1" applyFont="1" applyFill="1" applyBorder="1" applyAlignment="1"/>
    <xf numFmtId="167" fontId="2" fillId="0" borderId="16" xfId="1" applyNumberFormat="1" applyFont="1" applyFill="1" applyBorder="1" applyAlignment="1">
      <alignment vertical="center"/>
    </xf>
    <xf numFmtId="0" fontId="2" fillId="0" borderId="10" xfId="0" applyNumberFormat="1" applyFont="1" applyFill="1" applyBorder="1" applyAlignment="1">
      <alignment horizontal="center"/>
    </xf>
    <xf numFmtId="167" fontId="2" fillId="0" borderId="10" xfId="1" applyNumberFormat="1" applyFont="1" applyFill="1" applyBorder="1" applyAlignment="1">
      <alignment vertical="center"/>
    </xf>
    <xf numFmtId="0" fontId="9" fillId="0" borderId="10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wrapText="1"/>
    </xf>
    <xf numFmtId="0" fontId="2" fillId="0" borderId="24" xfId="0" applyFont="1" applyFill="1" applyBorder="1" applyAlignment="1">
      <alignment horizontal="center" wrapText="1"/>
    </xf>
    <xf numFmtId="0" fontId="2" fillId="0" borderId="18" xfId="3" applyFont="1" applyFill="1" applyBorder="1" applyAlignment="1">
      <alignment horizontal="left" vertical="center" wrapText="1"/>
    </xf>
    <xf numFmtId="0" fontId="2" fillId="0" borderId="10" xfId="3" applyFont="1" applyFill="1" applyBorder="1" applyAlignment="1">
      <alignment horizontal="left" vertical="center" wrapText="1"/>
    </xf>
    <xf numFmtId="0" fontId="2" fillId="0" borderId="10" xfId="0" applyNumberFormat="1" applyFont="1" applyFill="1" applyBorder="1" applyAlignment="1">
      <alignment horizontal="center" vertical="center"/>
    </xf>
    <xf numFmtId="49" fontId="2" fillId="0" borderId="10" xfId="3" applyNumberFormat="1" applyFont="1" applyFill="1" applyBorder="1" applyAlignment="1">
      <alignment horizontal="center" vertical="center" wrapText="1"/>
    </xf>
    <xf numFmtId="0" fontId="2" fillId="0" borderId="10" xfId="3" applyFont="1" applyFill="1" applyBorder="1" applyAlignment="1">
      <alignment horizontal="left" vertical="center"/>
    </xf>
    <xf numFmtId="49" fontId="2" fillId="0" borderId="10" xfId="3" applyNumberFormat="1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/>
    </xf>
    <xf numFmtId="0" fontId="2" fillId="0" borderId="10" xfId="3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0" xfId="3" applyFont="1" applyFill="1" applyBorder="1" applyAlignment="1">
      <alignment vertical="center" wrapText="1"/>
    </xf>
    <xf numFmtId="0" fontId="2" fillId="0" borderId="10" xfId="3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vertical="center"/>
    </xf>
    <xf numFmtId="0" fontId="2" fillId="0" borderId="10" xfId="0" applyNumberFormat="1" applyFont="1" applyFill="1" applyBorder="1" applyAlignment="1">
      <alignment horizontal="left" vertical="center" wrapText="1"/>
    </xf>
    <xf numFmtId="165" fontId="2" fillId="4" borderId="0" xfId="0" applyNumberFormat="1" applyFont="1" applyFill="1" applyBorder="1"/>
    <xf numFmtId="166" fontId="2" fillId="4" borderId="0" xfId="0" applyNumberFormat="1" applyFont="1" applyFill="1" applyBorder="1"/>
    <xf numFmtId="0" fontId="2" fillId="0" borderId="16" xfId="0" applyFont="1" applyFill="1" applyBorder="1" applyAlignment="1">
      <alignment horizontal="center" wrapText="1"/>
    </xf>
    <xf numFmtId="0" fontId="2" fillId="0" borderId="18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167" fontId="2" fillId="0" borderId="10" xfId="1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wrapText="1"/>
    </xf>
    <xf numFmtId="0" fontId="2" fillId="0" borderId="10" xfId="3" applyFont="1" applyFill="1" applyBorder="1" applyAlignment="1">
      <alignment horizontal="left" vertical="center" wrapText="1"/>
    </xf>
    <xf numFmtId="49" fontId="2" fillId="0" borderId="10" xfId="3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_ЗР-жд 2005" xfId="3"/>
    <cellStyle name="Обычный_Лист3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234"/>
  <sheetViews>
    <sheetView tabSelected="1" topLeftCell="A571" workbookViewId="0">
      <selection activeCell="C1838" sqref="C1838"/>
    </sheetView>
  </sheetViews>
  <sheetFormatPr defaultColWidth="9.140625" defaultRowHeight="15" x14ac:dyDescent="0.25"/>
  <cols>
    <col min="1" max="1" width="6.42578125" style="1" customWidth="1"/>
    <col min="2" max="2" width="6" style="2" hidden="1" customWidth="1"/>
    <col min="3" max="3" width="23.140625" style="2" customWidth="1"/>
    <col min="4" max="4" width="9.85546875" style="1" customWidth="1"/>
    <col min="5" max="5" width="4.28515625" style="1" customWidth="1"/>
    <col min="6" max="6" width="11.5703125" style="2" customWidth="1"/>
    <col min="7" max="7" width="11.28515625" style="2" customWidth="1"/>
    <col min="8" max="8" width="0.42578125" style="2" customWidth="1"/>
    <col min="9" max="9" width="0.140625" style="2" customWidth="1"/>
    <col min="10" max="10" width="11.5703125" style="5" customWidth="1"/>
    <col min="11" max="13" width="9.85546875" style="6" customWidth="1"/>
    <col min="14" max="14" width="0.140625" style="2" customWidth="1"/>
    <col min="15" max="15" width="0.28515625" style="2" customWidth="1"/>
    <col min="16" max="16" width="0.42578125" style="2" customWidth="1"/>
    <col min="17" max="17" width="14.28515625" style="7" hidden="1" customWidth="1"/>
    <col min="18" max="18" width="0.140625" style="2" customWidth="1"/>
    <col min="19" max="19" width="0.28515625" style="2" customWidth="1"/>
    <col min="21" max="21" width="0.42578125" customWidth="1"/>
    <col min="22" max="22" width="0.140625" style="2" customWidth="1"/>
    <col min="23" max="23" width="9.140625" style="2" hidden="1" customWidth="1"/>
    <col min="24" max="24" width="0.28515625" style="2" customWidth="1"/>
    <col min="25" max="25" width="8.7109375" style="8" hidden="1" customWidth="1"/>
    <col min="26" max="27" width="0.140625" style="2" customWidth="1"/>
    <col min="28" max="16384" width="9.140625" style="2"/>
  </cols>
  <sheetData>
    <row r="1" spans="1:36" x14ac:dyDescent="0.25">
      <c r="C1" s="3" t="s">
        <v>0</v>
      </c>
      <c r="D1" s="3"/>
      <c r="E1" s="3"/>
      <c r="F1" s="3"/>
      <c r="G1" s="4"/>
      <c r="H1" s="4"/>
      <c r="I1" s="4"/>
      <c r="N1" s="3"/>
      <c r="T1" s="2"/>
      <c r="U1" s="2"/>
    </row>
    <row r="2" spans="1:36" ht="21" x14ac:dyDescent="0.25">
      <c r="B2" s="3" t="s">
        <v>1</v>
      </c>
      <c r="C2" s="9" t="s">
        <v>1</v>
      </c>
      <c r="D2" s="9"/>
      <c r="E2" s="9"/>
      <c r="F2" s="9"/>
      <c r="G2" s="9"/>
      <c r="H2" s="9"/>
      <c r="I2" s="9"/>
      <c r="J2" s="2"/>
      <c r="K2" s="2"/>
      <c r="L2" s="11"/>
      <c r="M2" s="11"/>
      <c r="T2" s="2"/>
      <c r="U2" s="2"/>
      <c r="X2" s="12" t="s">
        <v>3</v>
      </c>
      <c r="Y2" s="13" t="s">
        <v>4</v>
      </c>
      <c r="Z2" s="14"/>
      <c r="AA2" s="14"/>
      <c r="AB2" s="14"/>
      <c r="AC2" s="14"/>
    </row>
    <row r="3" spans="1:36" ht="21" x14ac:dyDescent="0.25">
      <c r="B3" s="3"/>
      <c r="C3" s="9"/>
      <c r="D3" s="9"/>
      <c r="E3" s="9"/>
      <c r="F3" s="9"/>
      <c r="G3" s="9"/>
      <c r="H3" s="9"/>
      <c r="I3" s="9"/>
      <c r="J3" s="10" t="s">
        <v>2</v>
      </c>
      <c r="K3" s="10"/>
      <c r="L3" s="11"/>
      <c r="M3" s="11"/>
      <c r="T3" s="2"/>
      <c r="U3" s="2"/>
      <c r="X3" s="12"/>
      <c r="Y3" s="13"/>
      <c r="Z3" s="14"/>
      <c r="AA3" s="14"/>
      <c r="AB3" s="14"/>
      <c r="AC3" s="14"/>
    </row>
    <row r="4" spans="1:36" ht="21.75" thickBot="1" x14ac:dyDescent="0.3">
      <c r="B4" s="3"/>
      <c r="C4" s="9"/>
      <c r="D4" s="9"/>
      <c r="E4" s="9"/>
      <c r="F4" s="9"/>
      <c r="G4" s="9"/>
      <c r="H4" s="9"/>
      <c r="I4" s="9"/>
      <c r="J4" s="89" t="s">
        <v>668</v>
      </c>
      <c r="K4" s="90"/>
      <c r="L4" s="11"/>
      <c r="M4" s="11"/>
      <c r="T4" s="2"/>
      <c r="U4" s="2"/>
      <c r="X4" s="12"/>
      <c r="Y4" s="13"/>
      <c r="Z4" s="14"/>
      <c r="AA4" s="14"/>
      <c r="AB4" s="14"/>
      <c r="AC4" s="14"/>
    </row>
    <row r="5" spans="1:36" ht="19.5" customHeight="1" thickBot="1" x14ac:dyDescent="0.3">
      <c r="G5" s="15"/>
      <c r="H5" s="15"/>
      <c r="I5" s="15"/>
      <c r="J5" s="2"/>
      <c r="K5" s="2"/>
      <c r="T5" s="2"/>
      <c r="U5" s="2"/>
      <c r="AE5" s="16" t="s">
        <v>5</v>
      </c>
      <c r="AF5" s="17" t="s">
        <v>6</v>
      </c>
      <c r="AG5" s="17" t="s">
        <v>5</v>
      </c>
      <c r="AH5" s="17" t="s">
        <v>6</v>
      </c>
      <c r="AI5" s="17" t="s">
        <v>5</v>
      </c>
      <c r="AJ5" s="17" t="s">
        <v>6</v>
      </c>
    </row>
    <row r="6" spans="1:36" ht="12.75" customHeight="1" x14ac:dyDescent="0.25">
      <c r="A6" s="103"/>
      <c r="B6" s="106" t="s">
        <v>7</v>
      </c>
      <c r="C6" s="109" t="s">
        <v>8</v>
      </c>
      <c r="D6" s="112" t="s">
        <v>9</v>
      </c>
      <c r="E6" s="114" t="s">
        <v>10</v>
      </c>
      <c r="F6" s="100" t="s">
        <v>11</v>
      </c>
      <c r="G6" s="100"/>
      <c r="H6" s="100"/>
      <c r="I6" s="100"/>
      <c r="J6" s="100"/>
      <c r="K6" s="101"/>
      <c r="L6" s="18"/>
      <c r="M6" s="18"/>
      <c r="T6" s="2"/>
      <c r="U6" s="2"/>
      <c r="AE6" s="19">
        <v>150</v>
      </c>
      <c r="AF6" s="20">
        <v>4.45</v>
      </c>
      <c r="AG6" s="20">
        <v>1000</v>
      </c>
      <c r="AH6" s="20">
        <v>2.8</v>
      </c>
      <c r="AI6" s="20">
        <v>4000</v>
      </c>
      <c r="AJ6" s="20">
        <v>2.4</v>
      </c>
    </row>
    <row r="7" spans="1:36" ht="14.1" customHeight="1" x14ac:dyDescent="0.25">
      <c r="A7" s="104"/>
      <c r="B7" s="107"/>
      <c r="C7" s="110"/>
      <c r="D7" s="95"/>
      <c r="E7" s="98"/>
      <c r="F7" s="93" t="s">
        <v>12</v>
      </c>
      <c r="G7" s="93"/>
      <c r="H7" s="93" t="s">
        <v>13</v>
      </c>
      <c r="I7" s="93"/>
      <c r="J7" s="93" t="s">
        <v>13</v>
      </c>
      <c r="K7" s="102"/>
      <c r="L7" s="18"/>
      <c r="M7" s="18"/>
      <c r="T7" s="2"/>
      <c r="U7" s="2"/>
      <c r="AE7" s="19">
        <v>250</v>
      </c>
      <c r="AF7" s="20">
        <v>3.7</v>
      </c>
      <c r="AG7" s="20">
        <v>1500</v>
      </c>
      <c r="AH7" s="20">
        <v>2.65</v>
      </c>
      <c r="AI7" s="20">
        <v>5000</v>
      </c>
      <c r="AJ7" s="20">
        <v>2.35</v>
      </c>
    </row>
    <row r="8" spans="1:36" ht="31.5" customHeight="1" thickBot="1" x14ac:dyDescent="0.3">
      <c r="A8" s="105"/>
      <c r="B8" s="108"/>
      <c r="C8" s="111"/>
      <c r="D8" s="113"/>
      <c r="E8" s="115"/>
      <c r="F8" s="21" t="s">
        <v>14</v>
      </c>
      <c r="G8" s="21" t="s">
        <v>15</v>
      </c>
      <c r="H8" s="21" t="s">
        <v>14</v>
      </c>
      <c r="I8" s="21" t="s">
        <v>15</v>
      </c>
      <c r="J8" s="22" t="s">
        <v>14</v>
      </c>
      <c r="K8" s="23" t="s">
        <v>15</v>
      </c>
      <c r="L8" s="24" t="s">
        <v>16</v>
      </c>
      <c r="M8" s="18"/>
      <c r="O8" s="25" t="s">
        <v>17</v>
      </c>
      <c r="P8" s="25" t="s">
        <v>18</v>
      </c>
      <c r="Q8" s="26" t="s">
        <v>19</v>
      </c>
      <c r="R8" s="26" t="s">
        <v>20</v>
      </c>
      <c r="S8" s="26" t="s">
        <v>21</v>
      </c>
      <c r="T8" s="2"/>
      <c r="U8" s="2"/>
      <c r="V8" s="2" t="s">
        <v>22</v>
      </c>
      <c r="Y8" s="8" t="s">
        <v>23</v>
      </c>
      <c r="AE8" s="19">
        <v>350</v>
      </c>
      <c r="AF8" s="20">
        <v>3.55</v>
      </c>
      <c r="AG8" s="20">
        <v>2000</v>
      </c>
      <c r="AH8" s="20">
        <v>2.5499999999999998</v>
      </c>
      <c r="AI8" s="20">
        <v>6000</v>
      </c>
      <c r="AJ8" s="20">
        <v>2.35</v>
      </c>
    </row>
    <row r="9" spans="1:36" ht="15" customHeight="1" x14ac:dyDescent="0.25">
      <c r="A9" s="27">
        <v>1</v>
      </c>
      <c r="B9" s="28">
        <v>1</v>
      </c>
      <c r="C9" s="29" t="s">
        <v>24</v>
      </c>
      <c r="D9" s="28">
        <v>1</v>
      </c>
      <c r="E9" s="28"/>
      <c r="F9" s="30">
        <f>177752/1000000</f>
        <v>0.17775199999999999</v>
      </c>
      <c r="G9" s="30">
        <f t="shared" ref="G9:G75" si="0">F9*0.197</f>
        <v>3.5017144E-2</v>
      </c>
      <c r="H9" s="30">
        <f>69182/1000000</f>
        <v>6.9181999999999994E-2</v>
      </c>
      <c r="I9" s="31">
        <f>H9*0.15</f>
        <v>1.0377299999999999E-2</v>
      </c>
      <c r="J9" s="32">
        <f t="shared" ref="J9:J72" si="1">O9*R9*S9</f>
        <v>0.15392994999999998</v>
      </c>
      <c r="K9" s="33">
        <f>J9*0.15</f>
        <v>2.3089492499999996E-2</v>
      </c>
      <c r="L9" s="33"/>
      <c r="O9" s="2">
        <f>H9/2.4</f>
        <v>2.8825833333333332E-2</v>
      </c>
      <c r="P9" s="2">
        <f>O9*24*30</f>
        <v>20.7546</v>
      </c>
      <c r="Q9" s="7">
        <f>P9/0.2208</f>
        <v>93.997282608695656</v>
      </c>
      <c r="R9" s="2">
        <v>1.2</v>
      </c>
      <c r="S9" s="2">
        <f t="shared" ref="S9:S72" si="2">IF(Q9&lt;=$AE$6,$AF$6,IF(Q9&lt;=$AE$7,$AF$7,IF(Q9&lt;=$AE$8,$AF$8,IF(Q9&lt;=$AE$9,$AF$9,IF(Q9&lt;=$AE$10,$AF$10,0)))))</f>
        <v>4.45</v>
      </c>
      <c r="T9" s="2"/>
      <c r="U9" s="2"/>
      <c r="V9" s="2">
        <f>H9*R9*S9</f>
        <v>0.36943187999999999</v>
      </c>
      <c r="W9" s="2">
        <f>V9/46*1000</f>
        <v>8.0311278260869567</v>
      </c>
      <c r="Y9" s="8">
        <f t="shared" ref="Y9:Y72" si="3">J9/46*1000</f>
        <v>3.3463032608695649</v>
      </c>
      <c r="AE9" s="19">
        <v>500</v>
      </c>
      <c r="AF9" s="20">
        <v>3.25</v>
      </c>
      <c r="AG9" s="20">
        <v>2500</v>
      </c>
      <c r="AH9" s="20">
        <v>2.5</v>
      </c>
      <c r="AI9" s="20">
        <v>7500</v>
      </c>
      <c r="AJ9" s="20">
        <v>2.2999999999999998</v>
      </c>
    </row>
    <row r="10" spans="1:36" ht="15" customHeight="1" thickBot="1" x14ac:dyDescent="0.3">
      <c r="A10" s="34">
        <f>A9+1</f>
        <v>2</v>
      </c>
      <c r="B10" s="35">
        <f>B9+1</f>
        <v>2</v>
      </c>
      <c r="C10" s="29" t="s">
        <v>24</v>
      </c>
      <c r="D10" s="35">
        <v>2</v>
      </c>
      <c r="E10" s="35"/>
      <c r="F10" s="36">
        <f>178524/1000000</f>
        <v>0.17852399999999999</v>
      </c>
      <c r="G10" s="36">
        <f t="shared" si="0"/>
        <v>3.5169227999999997E-2</v>
      </c>
      <c r="H10" s="36">
        <f>80959/1000000</f>
        <v>8.0959000000000003E-2</v>
      </c>
      <c r="I10" s="37">
        <f t="shared" ref="I10:I75" si="4">H10*0.15</f>
        <v>1.2143849999999999E-2</v>
      </c>
      <c r="J10" s="32">
        <f t="shared" si="1"/>
        <v>0.18013377500000002</v>
      </c>
      <c r="K10" s="33">
        <f t="shared" ref="K10:K73" si="5">J10*0.15</f>
        <v>2.7020066250000002E-2</v>
      </c>
      <c r="L10" s="33"/>
      <c r="O10" s="2">
        <f>H10/2.4</f>
        <v>3.3732916666666668E-2</v>
      </c>
      <c r="P10" s="2">
        <f>O10*24*30</f>
        <v>24.287700000000001</v>
      </c>
      <c r="Q10" s="7">
        <f>P10/0.2208</f>
        <v>109.99864130434783</v>
      </c>
      <c r="R10" s="2">
        <v>1.2</v>
      </c>
      <c r="S10" s="2">
        <f t="shared" si="2"/>
        <v>4.45</v>
      </c>
      <c r="T10" s="2"/>
      <c r="U10" s="2"/>
      <c r="Y10" s="8">
        <f t="shared" si="3"/>
        <v>3.9159516304347832</v>
      </c>
      <c r="AE10" s="38">
        <v>700</v>
      </c>
      <c r="AF10" s="39">
        <v>3</v>
      </c>
      <c r="AG10" s="39">
        <v>3000</v>
      </c>
      <c r="AH10" s="39">
        <v>2.4500000000000002</v>
      </c>
      <c r="AI10" s="39">
        <v>10000</v>
      </c>
      <c r="AJ10" s="39">
        <v>2.25</v>
      </c>
    </row>
    <row r="11" spans="1:36" ht="15" customHeight="1" x14ac:dyDescent="0.25">
      <c r="A11" s="34">
        <f t="shared" ref="A11:B26" si="6">A10+1</f>
        <v>3</v>
      </c>
      <c r="B11" s="35">
        <f t="shared" si="6"/>
        <v>3</v>
      </c>
      <c r="C11" s="29" t="s">
        <v>24</v>
      </c>
      <c r="D11" s="35">
        <v>4</v>
      </c>
      <c r="E11" s="35"/>
      <c r="F11" s="36">
        <f>(177877+6194)/1000000</f>
        <v>0.18407100000000001</v>
      </c>
      <c r="G11" s="36">
        <f t="shared" si="0"/>
        <v>3.6261987000000002E-2</v>
      </c>
      <c r="H11" s="36">
        <f>68446/1000000</f>
        <v>6.8446000000000007E-2</v>
      </c>
      <c r="I11" s="37">
        <f t="shared" si="4"/>
        <v>1.0266900000000001E-2</v>
      </c>
      <c r="J11" s="32">
        <f t="shared" si="1"/>
        <v>0.15229235000000002</v>
      </c>
      <c r="K11" s="33">
        <f t="shared" si="5"/>
        <v>2.2843852500000001E-2</v>
      </c>
      <c r="L11" s="33"/>
      <c r="O11" s="2">
        <f t="shared" ref="O11:O74" si="7">H11/2.4</f>
        <v>2.8519166666666672E-2</v>
      </c>
      <c r="P11" s="2">
        <f t="shared" ref="P11:P74" si="8">O11*24*30</f>
        <v>20.533800000000003</v>
      </c>
      <c r="Q11" s="7">
        <f t="shared" ref="Q11:Q74" si="9">P11/0.2208</f>
        <v>92.99728260869567</v>
      </c>
      <c r="R11" s="2">
        <v>1.2</v>
      </c>
      <c r="S11" s="2">
        <f t="shared" si="2"/>
        <v>4.45</v>
      </c>
      <c r="T11" s="2"/>
      <c r="U11" s="2"/>
      <c r="Y11" s="8">
        <f t="shared" si="3"/>
        <v>3.3107032608695657</v>
      </c>
    </row>
    <row r="12" spans="1:36" ht="15" customHeight="1" x14ac:dyDescent="0.25">
      <c r="A12" s="34">
        <f t="shared" si="6"/>
        <v>4</v>
      </c>
      <c r="B12" s="35">
        <f t="shared" si="6"/>
        <v>4</v>
      </c>
      <c r="C12" s="29" t="s">
        <v>24</v>
      </c>
      <c r="D12" s="35">
        <v>5</v>
      </c>
      <c r="E12" s="35"/>
      <c r="F12" s="36">
        <f>179804/1000000</f>
        <v>0.17980399999999999</v>
      </c>
      <c r="G12" s="36">
        <f t="shared" si="0"/>
        <v>3.5421387999999998E-2</v>
      </c>
      <c r="H12" s="36">
        <f>94944/1000000</f>
        <v>9.4944000000000001E-2</v>
      </c>
      <c r="I12" s="37">
        <f t="shared" si="4"/>
        <v>1.42416E-2</v>
      </c>
      <c r="J12" s="32">
        <f t="shared" si="1"/>
        <v>0.21125040000000003</v>
      </c>
      <c r="K12" s="33">
        <f t="shared" si="5"/>
        <v>3.1687560000000004E-2</v>
      </c>
      <c r="L12" s="33"/>
      <c r="O12" s="2">
        <f t="shared" si="7"/>
        <v>3.9560000000000005E-2</v>
      </c>
      <c r="P12" s="2">
        <f t="shared" si="8"/>
        <v>28.483200000000004</v>
      </c>
      <c r="Q12" s="7">
        <f t="shared" si="9"/>
        <v>129.00000000000003</v>
      </c>
      <c r="R12" s="2">
        <v>1.2</v>
      </c>
      <c r="S12" s="2">
        <f t="shared" si="2"/>
        <v>4.45</v>
      </c>
      <c r="T12" s="2"/>
      <c r="U12" s="2"/>
      <c r="Y12" s="8">
        <f t="shared" si="3"/>
        <v>4.5924000000000005</v>
      </c>
    </row>
    <row r="13" spans="1:36" ht="15" customHeight="1" x14ac:dyDescent="0.25">
      <c r="A13" s="34">
        <f t="shared" si="6"/>
        <v>5</v>
      </c>
      <c r="B13" s="35">
        <f t="shared" si="6"/>
        <v>5</v>
      </c>
      <c r="C13" s="29" t="s">
        <v>24</v>
      </c>
      <c r="D13" s="35">
        <v>6</v>
      </c>
      <c r="E13" s="35"/>
      <c r="F13" s="36">
        <f>177859/1000000</f>
        <v>0.17785899999999999</v>
      </c>
      <c r="G13" s="36">
        <f t="shared" si="0"/>
        <v>3.5038223E-2</v>
      </c>
      <c r="H13" s="36">
        <f>78017/1000000</f>
        <v>7.8017000000000003E-2</v>
      </c>
      <c r="I13" s="37">
        <f t="shared" si="4"/>
        <v>1.1702550000000001E-2</v>
      </c>
      <c r="J13" s="32">
        <f t="shared" si="1"/>
        <v>0.17358782500000006</v>
      </c>
      <c r="K13" s="33">
        <f t="shared" si="5"/>
        <v>2.6038173750000008E-2</v>
      </c>
      <c r="L13" s="33"/>
      <c r="O13" s="2">
        <f t="shared" si="7"/>
        <v>3.2507083333333339E-2</v>
      </c>
      <c r="P13" s="2">
        <f t="shared" si="8"/>
        <v>23.405100000000004</v>
      </c>
      <c r="Q13" s="7">
        <f t="shared" si="9"/>
        <v>106.0013586956522</v>
      </c>
      <c r="R13" s="2">
        <v>1.2</v>
      </c>
      <c r="S13" s="2">
        <f t="shared" si="2"/>
        <v>4.45</v>
      </c>
      <c r="T13" s="2"/>
      <c r="U13" s="2"/>
      <c r="Y13" s="8">
        <f t="shared" si="3"/>
        <v>3.773648369565219</v>
      </c>
    </row>
    <row r="14" spans="1:36" ht="15" customHeight="1" x14ac:dyDescent="0.25">
      <c r="A14" s="34">
        <f t="shared" si="6"/>
        <v>6</v>
      </c>
      <c r="B14" s="35">
        <f t="shared" si="6"/>
        <v>6</v>
      </c>
      <c r="C14" s="29" t="s">
        <v>24</v>
      </c>
      <c r="D14" s="35">
        <v>7</v>
      </c>
      <c r="E14" s="35"/>
      <c r="F14" s="36">
        <f>181270/1000000</f>
        <v>0.18126999999999999</v>
      </c>
      <c r="G14" s="36">
        <f t="shared" si="0"/>
        <v>3.5710189999999996E-2</v>
      </c>
      <c r="H14" s="36">
        <f>78754/1000000</f>
        <v>7.8754000000000005E-2</v>
      </c>
      <c r="I14" s="37">
        <f t="shared" si="4"/>
        <v>1.18131E-2</v>
      </c>
      <c r="J14" s="32">
        <f t="shared" si="1"/>
        <v>0.17522765000000001</v>
      </c>
      <c r="K14" s="33">
        <f t="shared" si="5"/>
        <v>2.62841475E-2</v>
      </c>
      <c r="L14" s="33"/>
      <c r="O14" s="2">
        <f t="shared" si="7"/>
        <v>3.2814166666666672E-2</v>
      </c>
      <c r="P14" s="2">
        <f t="shared" si="8"/>
        <v>23.626200000000004</v>
      </c>
      <c r="Q14" s="7">
        <f t="shared" si="9"/>
        <v>107.00271739130437</v>
      </c>
      <c r="R14" s="2">
        <v>1.2</v>
      </c>
      <c r="S14" s="2">
        <f t="shared" si="2"/>
        <v>4.45</v>
      </c>
      <c r="T14" s="2"/>
      <c r="U14" s="2"/>
      <c r="Y14" s="8">
        <f t="shared" si="3"/>
        <v>3.8092967391304349</v>
      </c>
    </row>
    <row r="15" spans="1:36" ht="15" customHeight="1" x14ac:dyDescent="0.25">
      <c r="A15" s="34">
        <f t="shared" si="6"/>
        <v>7</v>
      </c>
      <c r="B15" s="35">
        <f t="shared" si="6"/>
        <v>7</v>
      </c>
      <c r="C15" s="29" t="s">
        <v>24</v>
      </c>
      <c r="D15" s="35">
        <v>10</v>
      </c>
      <c r="E15" s="35"/>
      <c r="F15" s="36">
        <f>(180522+4430)/1000000</f>
        <v>0.18495200000000001</v>
      </c>
      <c r="G15" s="36">
        <f t="shared" si="0"/>
        <v>3.6435544E-2</v>
      </c>
      <c r="H15" s="36">
        <f>82433/1000000</f>
        <v>8.2433000000000006E-2</v>
      </c>
      <c r="I15" s="37">
        <f t="shared" si="4"/>
        <v>1.2364950000000001E-2</v>
      </c>
      <c r="J15" s="32">
        <f t="shared" si="1"/>
        <v>0.18341342500000005</v>
      </c>
      <c r="K15" s="33">
        <f t="shared" si="5"/>
        <v>2.7512013750000005E-2</v>
      </c>
      <c r="L15" s="33"/>
      <c r="O15" s="2">
        <f t="shared" si="7"/>
        <v>3.4347083333333341E-2</v>
      </c>
      <c r="P15" s="2">
        <f t="shared" si="8"/>
        <v>24.729900000000008</v>
      </c>
      <c r="Q15" s="7">
        <f t="shared" si="9"/>
        <v>112.00135869565221</v>
      </c>
      <c r="R15" s="2">
        <v>1.2</v>
      </c>
      <c r="S15" s="2">
        <f t="shared" si="2"/>
        <v>4.45</v>
      </c>
      <c r="T15" s="2"/>
      <c r="U15" s="2"/>
      <c r="Y15" s="8">
        <f t="shared" si="3"/>
        <v>3.9872483695652186</v>
      </c>
    </row>
    <row r="16" spans="1:36" ht="15" customHeight="1" x14ac:dyDescent="0.25">
      <c r="A16" s="34">
        <f t="shared" si="6"/>
        <v>8</v>
      </c>
      <c r="B16" s="35">
        <f t="shared" si="6"/>
        <v>8</v>
      </c>
      <c r="C16" s="29" t="s">
        <v>24</v>
      </c>
      <c r="D16" s="35">
        <v>11</v>
      </c>
      <c r="E16" s="35"/>
      <c r="F16" s="36">
        <f>179754/1000000</f>
        <v>0.179754</v>
      </c>
      <c r="G16" s="36">
        <f t="shared" si="0"/>
        <v>3.5411537999999999E-2</v>
      </c>
      <c r="H16" s="36">
        <f>78754/1000000</f>
        <v>7.8754000000000005E-2</v>
      </c>
      <c r="I16" s="37">
        <f t="shared" si="4"/>
        <v>1.18131E-2</v>
      </c>
      <c r="J16" s="32">
        <f t="shared" si="1"/>
        <v>0.17522765000000001</v>
      </c>
      <c r="K16" s="33">
        <f t="shared" si="5"/>
        <v>2.62841475E-2</v>
      </c>
      <c r="L16" s="33"/>
      <c r="O16" s="2">
        <f t="shared" si="7"/>
        <v>3.2814166666666672E-2</v>
      </c>
      <c r="P16" s="2">
        <f t="shared" si="8"/>
        <v>23.626200000000004</v>
      </c>
      <c r="Q16" s="7">
        <f t="shared" si="9"/>
        <v>107.00271739130437</v>
      </c>
      <c r="R16" s="2">
        <v>1.2</v>
      </c>
      <c r="S16" s="2">
        <f t="shared" si="2"/>
        <v>4.45</v>
      </c>
      <c r="T16" s="2"/>
      <c r="U16" s="2"/>
      <c r="Y16" s="8">
        <f t="shared" si="3"/>
        <v>3.8092967391304349</v>
      </c>
    </row>
    <row r="17" spans="1:25" ht="15" customHeight="1" x14ac:dyDescent="0.25">
      <c r="A17" s="34">
        <f t="shared" si="6"/>
        <v>9</v>
      </c>
      <c r="B17" s="35">
        <f t="shared" si="6"/>
        <v>9</v>
      </c>
      <c r="C17" s="29" t="s">
        <v>24</v>
      </c>
      <c r="D17" s="35">
        <v>14</v>
      </c>
      <c r="E17" s="35"/>
      <c r="F17" s="36">
        <f>158210/1000000</f>
        <v>0.15820999999999999</v>
      </c>
      <c r="G17" s="36">
        <f t="shared" si="0"/>
        <v>3.116737E-2</v>
      </c>
      <c r="H17" s="36">
        <f>51521/1000000</f>
        <v>5.1520999999999997E-2</v>
      </c>
      <c r="I17" s="37">
        <f t="shared" si="4"/>
        <v>7.7281499999999996E-3</v>
      </c>
      <c r="J17" s="32">
        <f t="shared" si="1"/>
        <v>0.11463422500000002</v>
      </c>
      <c r="K17" s="33">
        <f t="shared" si="5"/>
        <v>1.7195133750000001E-2</v>
      </c>
      <c r="L17" s="33"/>
      <c r="O17" s="2">
        <f t="shared" si="7"/>
        <v>2.1467083333333335E-2</v>
      </c>
      <c r="P17" s="2">
        <f t="shared" si="8"/>
        <v>15.456300000000002</v>
      </c>
      <c r="Q17" s="7">
        <f t="shared" si="9"/>
        <v>70.001358695652186</v>
      </c>
      <c r="R17" s="2">
        <v>1.2</v>
      </c>
      <c r="S17" s="2">
        <f t="shared" si="2"/>
        <v>4.45</v>
      </c>
      <c r="T17" s="2"/>
      <c r="U17" s="2"/>
      <c r="Y17" s="8">
        <f t="shared" si="3"/>
        <v>2.492048369565218</v>
      </c>
    </row>
    <row r="18" spans="1:25" ht="15" customHeight="1" x14ac:dyDescent="0.25">
      <c r="A18" s="34">
        <f t="shared" si="6"/>
        <v>10</v>
      </c>
      <c r="B18" s="35">
        <f t="shared" si="6"/>
        <v>10</v>
      </c>
      <c r="C18" s="29" t="s">
        <v>24</v>
      </c>
      <c r="D18" s="35">
        <v>15</v>
      </c>
      <c r="E18" s="35"/>
      <c r="F18" s="36">
        <f>158210/1000000</f>
        <v>0.15820999999999999</v>
      </c>
      <c r="G18" s="36">
        <f t="shared" si="0"/>
        <v>3.116737E-2</v>
      </c>
      <c r="H18" s="36">
        <f>65503/1000000</f>
        <v>6.5503000000000006E-2</v>
      </c>
      <c r="I18" s="37">
        <f t="shared" si="4"/>
        <v>9.8254500000000012E-3</v>
      </c>
      <c r="J18" s="32">
        <f t="shared" si="1"/>
        <v>0.14574417500000003</v>
      </c>
      <c r="K18" s="33">
        <f t="shared" si="5"/>
        <v>2.1861626250000005E-2</v>
      </c>
      <c r="L18" s="33"/>
      <c r="O18" s="2">
        <f t="shared" si="7"/>
        <v>2.729291666666667E-2</v>
      </c>
      <c r="P18" s="2">
        <f t="shared" si="8"/>
        <v>19.650900000000004</v>
      </c>
      <c r="Q18" s="7">
        <f t="shared" si="9"/>
        <v>88.998641304347842</v>
      </c>
      <c r="R18" s="2">
        <v>1.2</v>
      </c>
      <c r="S18" s="2">
        <f t="shared" si="2"/>
        <v>4.45</v>
      </c>
      <c r="T18" s="2"/>
      <c r="U18" s="2"/>
      <c r="Y18" s="8">
        <f t="shared" si="3"/>
        <v>3.168351630434783</v>
      </c>
    </row>
    <row r="19" spans="1:25" x14ac:dyDescent="0.25">
      <c r="A19" s="34">
        <f t="shared" si="6"/>
        <v>11</v>
      </c>
      <c r="B19" s="35">
        <f t="shared" si="6"/>
        <v>11</v>
      </c>
      <c r="C19" s="29" t="s">
        <v>24</v>
      </c>
      <c r="D19" s="35">
        <v>16</v>
      </c>
      <c r="E19" s="35"/>
      <c r="F19" s="36">
        <f>142162/1000000</f>
        <v>0.14216200000000001</v>
      </c>
      <c r="G19" s="36">
        <f t="shared" si="0"/>
        <v>2.8005914000000003E-2</v>
      </c>
      <c r="H19" s="36">
        <f>55936/1000000</f>
        <v>5.5936E-2</v>
      </c>
      <c r="I19" s="37">
        <f t="shared" si="4"/>
        <v>8.3903999999999992E-3</v>
      </c>
      <c r="J19" s="32">
        <f t="shared" si="1"/>
        <v>0.1244576</v>
      </c>
      <c r="K19" s="33">
        <f t="shared" si="5"/>
        <v>1.866864E-2</v>
      </c>
      <c r="L19" s="33"/>
      <c r="O19" s="2">
        <f t="shared" si="7"/>
        <v>2.3306666666666667E-2</v>
      </c>
      <c r="P19" s="2">
        <f t="shared" si="8"/>
        <v>16.780799999999999</v>
      </c>
      <c r="Q19" s="7">
        <f t="shared" si="9"/>
        <v>76</v>
      </c>
      <c r="R19" s="2">
        <v>1.2</v>
      </c>
      <c r="S19" s="2">
        <f t="shared" si="2"/>
        <v>4.45</v>
      </c>
      <c r="T19" s="2"/>
      <c r="U19" s="2"/>
      <c r="Y19" s="8">
        <f t="shared" si="3"/>
        <v>2.7056</v>
      </c>
    </row>
    <row r="20" spans="1:25" x14ac:dyDescent="0.25">
      <c r="A20" s="34">
        <f t="shared" si="6"/>
        <v>12</v>
      </c>
      <c r="B20" s="35">
        <f t="shared" si="6"/>
        <v>12</v>
      </c>
      <c r="C20" s="29" t="s">
        <v>24</v>
      </c>
      <c r="D20" s="35">
        <v>17</v>
      </c>
      <c r="E20" s="35"/>
      <c r="F20" s="36">
        <f>174665/1000000</f>
        <v>0.17466499999999999</v>
      </c>
      <c r="G20" s="36">
        <f t="shared" si="0"/>
        <v>3.4409004999999999E-2</v>
      </c>
      <c r="H20" s="36">
        <f>80224/1000000</f>
        <v>8.0224000000000004E-2</v>
      </c>
      <c r="I20" s="37">
        <f t="shared" si="4"/>
        <v>1.20336E-2</v>
      </c>
      <c r="J20" s="32">
        <f t="shared" si="1"/>
        <v>0.1784984</v>
      </c>
      <c r="K20" s="33">
        <f t="shared" si="5"/>
        <v>2.6774759999999998E-2</v>
      </c>
      <c r="L20" s="33"/>
      <c r="O20" s="2">
        <f t="shared" si="7"/>
        <v>3.3426666666666667E-2</v>
      </c>
      <c r="P20" s="2">
        <f t="shared" si="8"/>
        <v>24.067200000000003</v>
      </c>
      <c r="Q20" s="7">
        <f t="shared" si="9"/>
        <v>109.00000000000001</v>
      </c>
      <c r="R20" s="2">
        <v>1.2</v>
      </c>
      <c r="S20" s="2">
        <f t="shared" si="2"/>
        <v>4.45</v>
      </c>
      <c r="T20" s="2"/>
      <c r="U20" s="2"/>
      <c r="Y20" s="8">
        <f t="shared" si="3"/>
        <v>3.8803999999999998</v>
      </c>
    </row>
    <row r="21" spans="1:25" x14ac:dyDescent="0.25">
      <c r="A21" s="34">
        <f t="shared" si="6"/>
        <v>13</v>
      </c>
      <c r="B21" s="35">
        <f t="shared" si="6"/>
        <v>13</v>
      </c>
      <c r="C21" s="29" t="s">
        <v>24</v>
      </c>
      <c r="D21" s="35">
        <v>18</v>
      </c>
      <c r="E21" s="35"/>
      <c r="F21" s="36">
        <f>178819/1000000</f>
        <v>0.17881900000000001</v>
      </c>
      <c r="G21" s="36">
        <f t="shared" si="0"/>
        <v>3.5227343000000001E-2</v>
      </c>
      <c r="H21" s="36">
        <f>81696/1000000</f>
        <v>8.1696000000000005E-2</v>
      </c>
      <c r="I21" s="37">
        <f t="shared" si="4"/>
        <v>1.22544E-2</v>
      </c>
      <c r="J21" s="32">
        <f t="shared" si="1"/>
        <v>0.18177360000000001</v>
      </c>
      <c r="K21" s="33">
        <f t="shared" si="5"/>
        <v>2.7266040000000002E-2</v>
      </c>
      <c r="L21" s="33"/>
      <c r="O21" s="2">
        <f t="shared" si="7"/>
        <v>3.4040000000000001E-2</v>
      </c>
      <c r="P21" s="2">
        <f t="shared" si="8"/>
        <v>24.508800000000001</v>
      </c>
      <c r="Q21" s="7">
        <f t="shared" si="9"/>
        <v>111</v>
      </c>
      <c r="R21" s="2">
        <v>1.2</v>
      </c>
      <c r="S21" s="2">
        <f t="shared" si="2"/>
        <v>4.45</v>
      </c>
      <c r="T21" s="2"/>
      <c r="U21" s="2"/>
      <c r="Y21" s="8">
        <f t="shared" si="3"/>
        <v>3.9516000000000004</v>
      </c>
    </row>
    <row r="22" spans="1:25" x14ac:dyDescent="0.25">
      <c r="A22" s="34">
        <f t="shared" si="6"/>
        <v>14</v>
      </c>
      <c r="B22" s="35">
        <f t="shared" si="6"/>
        <v>14</v>
      </c>
      <c r="C22" s="29" t="s">
        <v>24</v>
      </c>
      <c r="D22" s="35">
        <v>19</v>
      </c>
      <c r="E22" s="35"/>
      <c r="F22" s="36">
        <f>178407/1000000</f>
        <v>0.17840700000000001</v>
      </c>
      <c r="G22" s="36">
        <f t="shared" si="0"/>
        <v>3.5146179000000007E-2</v>
      </c>
      <c r="H22" s="36">
        <f>82433/1000000</f>
        <v>8.2433000000000006E-2</v>
      </c>
      <c r="I22" s="37">
        <f t="shared" si="4"/>
        <v>1.2364950000000001E-2</v>
      </c>
      <c r="J22" s="32">
        <f t="shared" si="1"/>
        <v>0.18341342500000005</v>
      </c>
      <c r="K22" s="33">
        <f t="shared" si="5"/>
        <v>2.7512013750000005E-2</v>
      </c>
      <c r="L22" s="33"/>
      <c r="O22" s="2">
        <f t="shared" si="7"/>
        <v>3.4347083333333341E-2</v>
      </c>
      <c r="P22" s="2">
        <f t="shared" si="8"/>
        <v>24.729900000000008</v>
      </c>
      <c r="Q22" s="7">
        <f t="shared" si="9"/>
        <v>112.00135869565221</v>
      </c>
      <c r="R22" s="2">
        <v>1.2</v>
      </c>
      <c r="S22" s="2">
        <f t="shared" si="2"/>
        <v>4.45</v>
      </c>
      <c r="T22" s="2"/>
      <c r="U22" s="2"/>
      <c r="Y22" s="8">
        <f t="shared" si="3"/>
        <v>3.9872483695652186</v>
      </c>
    </row>
    <row r="23" spans="1:25" x14ac:dyDescent="0.25">
      <c r="A23" s="34">
        <f t="shared" si="6"/>
        <v>15</v>
      </c>
      <c r="B23" s="35">
        <f t="shared" si="6"/>
        <v>15</v>
      </c>
      <c r="C23" s="29" t="s">
        <v>24</v>
      </c>
      <c r="D23" s="35">
        <v>20</v>
      </c>
      <c r="E23" s="35"/>
      <c r="F23" s="36">
        <f>(179375+1696)/1000000</f>
        <v>0.18107100000000001</v>
      </c>
      <c r="G23" s="36">
        <f t="shared" si="0"/>
        <v>3.5670987000000001E-2</v>
      </c>
      <c r="H23" s="36">
        <f>76543/1000000</f>
        <v>7.6543E-2</v>
      </c>
      <c r="I23" s="37">
        <f t="shared" si="4"/>
        <v>1.1481449999999999E-2</v>
      </c>
      <c r="J23" s="32">
        <f t="shared" si="1"/>
        <v>0.17030817500000001</v>
      </c>
      <c r="K23" s="33">
        <f t="shared" si="5"/>
        <v>2.5546226250000002E-2</v>
      </c>
      <c r="L23" s="33"/>
      <c r="O23" s="2">
        <f t="shared" si="7"/>
        <v>3.1892916666666667E-2</v>
      </c>
      <c r="P23" s="2">
        <f t="shared" si="8"/>
        <v>22.962900000000001</v>
      </c>
      <c r="Q23" s="7">
        <f t="shared" si="9"/>
        <v>103.99864130434783</v>
      </c>
      <c r="R23" s="2">
        <v>1.2</v>
      </c>
      <c r="S23" s="2">
        <f t="shared" si="2"/>
        <v>4.45</v>
      </c>
      <c r="T23" s="2"/>
      <c r="U23" s="2"/>
      <c r="Y23" s="8">
        <f t="shared" si="3"/>
        <v>3.7023516304347828</v>
      </c>
    </row>
    <row r="24" spans="1:25" x14ac:dyDescent="0.25">
      <c r="A24" s="34">
        <f t="shared" si="6"/>
        <v>16</v>
      </c>
      <c r="B24" s="35">
        <f t="shared" si="6"/>
        <v>16</v>
      </c>
      <c r="C24" s="29" t="s">
        <v>24</v>
      </c>
      <c r="D24" s="35">
        <v>21</v>
      </c>
      <c r="E24" s="35"/>
      <c r="F24" s="36">
        <f>179213/1000000</f>
        <v>0.17921300000000001</v>
      </c>
      <c r="G24" s="36">
        <f t="shared" si="0"/>
        <v>3.5304961000000003E-2</v>
      </c>
      <c r="H24" s="36">
        <f>77280/1000000</f>
        <v>7.7280000000000001E-2</v>
      </c>
      <c r="I24" s="37">
        <f t="shared" si="4"/>
        <v>1.1592E-2</v>
      </c>
      <c r="J24" s="32">
        <f t="shared" si="1"/>
        <v>0.17194800000000002</v>
      </c>
      <c r="K24" s="33">
        <f t="shared" si="5"/>
        <v>2.5792200000000001E-2</v>
      </c>
      <c r="L24" s="33"/>
      <c r="O24" s="2">
        <f t="shared" si="7"/>
        <v>3.2199999999999999E-2</v>
      </c>
      <c r="P24" s="2">
        <f t="shared" si="8"/>
        <v>23.183999999999997</v>
      </c>
      <c r="Q24" s="7">
        <f t="shared" si="9"/>
        <v>104.99999999999999</v>
      </c>
      <c r="R24" s="2">
        <v>1.2</v>
      </c>
      <c r="S24" s="2">
        <f t="shared" si="2"/>
        <v>4.45</v>
      </c>
      <c r="T24" s="2"/>
      <c r="U24" s="2"/>
      <c r="Y24" s="8">
        <f t="shared" si="3"/>
        <v>3.7380000000000004</v>
      </c>
    </row>
    <row r="25" spans="1:25" x14ac:dyDescent="0.25">
      <c r="A25" s="34">
        <f t="shared" si="6"/>
        <v>17</v>
      </c>
      <c r="B25" s="35">
        <f t="shared" si="6"/>
        <v>17</v>
      </c>
      <c r="C25" s="29" t="s">
        <v>24</v>
      </c>
      <c r="D25" s="35">
        <v>22</v>
      </c>
      <c r="E25" s="35"/>
      <c r="F25" s="36">
        <f>165970/1000000</f>
        <v>0.16597000000000001</v>
      </c>
      <c r="G25" s="36">
        <f t="shared" si="0"/>
        <v>3.2696090000000004E-2</v>
      </c>
      <c r="H25" s="36">
        <f>80960/1000000</f>
        <v>8.0960000000000004E-2</v>
      </c>
      <c r="I25" s="37">
        <f t="shared" si="4"/>
        <v>1.2144E-2</v>
      </c>
      <c r="J25" s="32">
        <f t="shared" si="1"/>
        <v>0.18013600000000002</v>
      </c>
      <c r="K25" s="33">
        <f t="shared" si="5"/>
        <v>2.7020400000000003E-2</v>
      </c>
      <c r="L25" s="33"/>
      <c r="O25" s="2">
        <f t="shared" si="7"/>
        <v>3.3733333333333337E-2</v>
      </c>
      <c r="P25" s="2">
        <f t="shared" si="8"/>
        <v>24.288000000000004</v>
      </c>
      <c r="Q25" s="7">
        <f t="shared" si="9"/>
        <v>110.00000000000001</v>
      </c>
      <c r="R25" s="2">
        <v>1.2</v>
      </c>
      <c r="S25" s="2">
        <f t="shared" si="2"/>
        <v>4.45</v>
      </c>
      <c r="T25" s="2"/>
      <c r="U25" s="2"/>
      <c r="Y25" s="8">
        <f t="shared" si="3"/>
        <v>3.9160000000000004</v>
      </c>
    </row>
    <row r="26" spans="1:25" x14ac:dyDescent="0.25">
      <c r="A26" s="34">
        <f t="shared" si="6"/>
        <v>18</v>
      </c>
      <c r="B26" s="35">
        <f t="shared" si="6"/>
        <v>18</v>
      </c>
      <c r="C26" s="29" t="s">
        <v>24</v>
      </c>
      <c r="D26" s="35">
        <v>23</v>
      </c>
      <c r="E26" s="35"/>
      <c r="F26" s="36">
        <f>173586/1000000</f>
        <v>0.17358599999999999</v>
      </c>
      <c r="G26" s="36">
        <f t="shared" si="0"/>
        <v>3.4196442000000001E-2</v>
      </c>
      <c r="H26" s="36">
        <f>75808/1000000</f>
        <v>7.5808E-2</v>
      </c>
      <c r="I26" s="37">
        <f t="shared" si="4"/>
        <v>1.13712E-2</v>
      </c>
      <c r="J26" s="32">
        <f t="shared" si="1"/>
        <v>0.16867280000000001</v>
      </c>
      <c r="K26" s="33">
        <f t="shared" si="5"/>
        <v>2.5300920000000001E-2</v>
      </c>
      <c r="L26" s="33"/>
      <c r="O26" s="2">
        <f t="shared" si="7"/>
        <v>3.1586666666666666E-2</v>
      </c>
      <c r="P26" s="2">
        <f t="shared" si="8"/>
        <v>22.7424</v>
      </c>
      <c r="Q26" s="7">
        <f t="shared" si="9"/>
        <v>103</v>
      </c>
      <c r="R26" s="2">
        <v>1.2</v>
      </c>
      <c r="S26" s="2">
        <f t="shared" si="2"/>
        <v>4.45</v>
      </c>
      <c r="T26" s="2"/>
      <c r="U26" s="2"/>
      <c r="Y26" s="8">
        <f t="shared" si="3"/>
        <v>3.6668000000000003</v>
      </c>
    </row>
    <row r="27" spans="1:25" x14ac:dyDescent="0.25">
      <c r="A27" s="34">
        <f t="shared" ref="A27:B42" si="10">A26+1</f>
        <v>19</v>
      </c>
      <c r="B27" s="35">
        <f>B26+1</f>
        <v>19</v>
      </c>
      <c r="C27" s="29" t="s">
        <v>24</v>
      </c>
      <c r="D27" s="35">
        <v>24</v>
      </c>
      <c r="E27" s="35"/>
      <c r="F27" s="36">
        <f>(159847+3471)/1000000</f>
        <v>0.16331799999999999</v>
      </c>
      <c r="G27" s="36">
        <f t="shared" si="0"/>
        <v>3.2173646E-2</v>
      </c>
      <c r="H27" s="36">
        <f>73600/1000000</f>
        <v>7.3599999999999999E-2</v>
      </c>
      <c r="I27" s="37">
        <f t="shared" si="4"/>
        <v>1.1039999999999999E-2</v>
      </c>
      <c r="J27" s="32">
        <f t="shared" si="1"/>
        <v>0.16376000000000002</v>
      </c>
      <c r="K27" s="33">
        <f t="shared" si="5"/>
        <v>2.4564000000000002E-2</v>
      </c>
      <c r="L27" s="33"/>
      <c r="O27" s="2">
        <f t="shared" si="7"/>
        <v>3.0666666666666668E-2</v>
      </c>
      <c r="P27" s="2">
        <f t="shared" si="8"/>
        <v>22.08</v>
      </c>
      <c r="Q27" s="7">
        <f t="shared" si="9"/>
        <v>100</v>
      </c>
      <c r="R27" s="2">
        <v>1.2</v>
      </c>
      <c r="S27" s="2">
        <f t="shared" si="2"/>
        <v>4.45</v>
      </c>
      <c r="T27" s="2"/>
      <c r="U27" s="2"/>
      <c r="Y27" s="8">
        <f t="shared" si="3"/>
        <v>3.56</v>
      </c>
    </row>
    <row r="28" spans="1:25" x14ac:dyDescent="0.25">
      <c r="A28" s="34">
        <f t="shared" si="10"/>
        <v>20</v>
      </c>
      <c r="B28" s="35"/>
      <c r="C28" s="29" t="s">
        <v>24</v>
      </c>
      <c r="D28" s="35">
        <v>25</v>
      </c>
      <c r="E28" s="35"/>
      <c r="F28" s="36">
        <f>140277/1000000</f>
        <v>0.14027700000000001</v>
      </c>
      <c r="G28" s="36">
        <f>F28*0.197</f>
        <v>2.7634569000000005E-2</v>
      </c>
      <c r="H28" s="36">
        <v>6.4032000000000006E-2</v>
      </c>
      <c r="I28" s="37">
        <f>H28*0.15</f>
        <v>9.6048000000000001E-3</v>
      </c>
      <c r="J28" s="32">
        <f t="shared" si="1"/>
        <v>0.14247120000000002</v>
      </c>
      <c r="K28" s="33">
        <f t="shared" si="5"/>
        <v>2.1370680000000003E-2</v>
      </c>
      <c r="L28" s="33"/>
      <c r="O28" s="2">
        <f t="shared" si="7"/>
        <v>2.6680000000000002E-2</v>
      </c>
      <c r="P28" s="2">
        <f t="shared" si="8"/>
        <v>19.209600000000002</v>
      </c>
      <c r="Q28" s="7">
        <f t="shared" si="9"/>
        <v>87.000000000000014</v>
      </c>
      <c r="R28" s="2">
        <v>1.2</v>
      </c>
      <c r="S28" s="2">
        <f t="shared" si="2"/>
        <v>4.45</v>
      </c>
      <c r="T28" s="2"/>
      <c r="U28" s="2"/>
      <c r="Y28" s="8">
        <f t="shared" si="3"/>
        <v>3.0972000000000004</v>
      </c>
    </row>
    <row r="29" spans="1:25" x14ac:dyDescent="0.25">
      <c r="A29" s="34">
        <f t="shared" si="10"/>
        <v>21</v>
      </c>
      <c r="B29" s="35">
        <f>B27+1</f>
        <v>20</v>
      </c>
      <c r="C29" s="29" t="s">
        <v>24</v>
      </c>
      <c r="D29" s="35">
        <v>26</v>
      </c>
      <c r="E29" s="35"/>
      <c r="F29" s="36">
        <f>140128/1000000</f>
        <v>0.140128</v>
      </c>
      <c r="G29" s="36">
        <f t="shared" si="0"/>
        <v>2.7605216000000002E-2</v>
      </c>
      <c r="H29" s="36">
        <f>52258/1000000</f>
        <v>5.2257999999999999E-2</v>
      </c>
      <c r="I29" s="37">
        <f t="shared" si="4"/>
        <v>7.8386999999999988E-3</v>
      </c>
      <c r="J29" s="32">
        <f t="shared" si="1"/>
        <v>0.11627405</v>
      </c>
      <c r="K29" s="33">
        <f t="shared" si="5"/>
        <v>1.7441107500000001E-2</v>
      </c>
      <c r="L29" s="33"/>
      <c r="O29" s="2">
        <f t="shared" si="7"/>
        <v>2.1774166666666667E-2</v>
      </c>
      <c r="P29" s="2">
        <f t="shared" si="8"/>
        <v>15.677400000000002</v>
      </c>
      <c r="Q29" s="7">
        <f t="shared" si="9"/>
        <v>71.002717391304358</v>
      </c>
      <c r="R29" s="2">
        <v>1.2</v>
      </c>
      <c r="S29" s="2">
        <f t="shared" si="2"/>
        <v>4.45</v>
      </c>
      <c r="T29" s="2"/>
      <c r="U29" s="2"/>
      <c r="Y29" s="8">
        <f t="shared" si="3"/>
        <v>2.5276967391304348</v>
      </c>
    </row>
    <row r="30" spans="1:25" x14ac:dyDescent="0.25">
      <c r="A30" s="34">
        <f t="shared" si="10"/>
        <v>22</v>
      </c>
      <c r="B30" s="35">
        <f t="shared" si="10"/>
        <v>21</v>
      </c>
      <c r="C30" s="29" t="s">
        <v>24</v>
      </c>
      <c r="D30" s="35">
        <v>27</v>
      </c>
      <c r="E30" s="35"/>
      <c r="F30" s="36">
        <f>151640/1000000</f>
        <v>0.15164</v>
      </c>
      <c r="G30" s="36">
        <f t="shared" si="0"/>
        <v>2.987308E-2</v>
      </c>
      <c r="H30" s="36">
        <f>49312/1000000</f>
        <v>4.9312000000000002E-2</v>
      </c>
      <c r="I30" s="37">
        <f t="shared" si="4"/>
        <v>7.3968000000000002E-3</v>
      </c>
      <c r="J30" s="32">
        <f t="shared" si="1"/>
        <v>0.1097192</v>
      </c>
      <c r="K30" s="33">
        <f t="shared" si="5"/>
        <v>1.6457880000000001E-2</v>
      </c>
      <c r="L30" s="33"/>
      <c r="O30" s="2">
        <f t="shared" si="7"/>
        <v>2.0546666666666668E-2</v>
      </c>
      <c r="P30" s="2">
        <f t="shared" si="8"/>
        <v>14.7936</v>
      </c>
      <c r="Q30" s="7">
        <f t="shared" si="9"/>
        <v>67</v>
      </c>
      <c r="R30" s="2">
        <v>1.2</v>
      </c>
      <c r="S30" s="2">
        <f t="shared" si="2"/>
        <v>4.45</v>
      </c>
      <c r="T30" s="2"/>
      <c r="U30" s="2"/>
      <c r="Y30" s="8">
        <f t="shared" si="3"/>
        <v>2.3852000000000002</v>
      </c>
    </row>
    <row r="31" spans="1:25" x14ac:dyDescent="0.25">
      <c r="A31" s="34">
        <f t="shared" si="10"/>
        <v>23</v>
      </c>
      <c r="B31" s="35">
        <f t="shared" si="10"/>
        <v>22</v>
      </c>
      <c r="C31" s="29" t="s">
        <v>24</v>
      </c>
      <c r="D31" s="35">
        <v>28</v>
      </c>
      <c r="E31" s="35"/>
      <c r="F31" s="36">
        <f>137657/1000000</f>
        <v>0.137657</v>
      </c>
      <c r="G31" s="36">
        <f t="shared" si="0"/>
        <v>2.7118429000000003E-2</v>
      </c>
      <c r="H31" s="36">
        <f>57408/1000000</f>
        <v>5.7408000000000001E-2</v>
      </c>
      <c r="I31" s="37">
        <f t="shared" si="4"/>
        <v>8.6111999999999994E-3</v>
      </c>
      <c r="J31" s="32">
        <f t="shared" si="1"/>
        <v>0.12773280000000001</v>
      </c>
      <c r="K31" s="33">
        <f t="shared" si="5"/>
        <v>1.915992E-2</v>
      </c>
      <c r="L31" s="33"/>
      <c r="O31" s="2">
        <f t="shared" si="7"/>
        <v>2.392E-2</v>
      </c>
      <c r="P31" s="2">
        <f t="shared" si="8"/>
        <v>17.2224</v>
      </c>
      <c r="Q31" s="7">
        <f t="shared" si="9"/>
        <v>78</v>
      </c>
      <c r="R31" s="2">
        <v>1.2</v>
      </c>
      <c r="S31" s="2">
        <f t="shared" si="2"/>
        <v>4.45</v>
      </c>
      <c r="T31" s="2"/>
      <c r="U31" s="2"/>
      <c r="Y31" s="8">
        <f t="shared" si="3"/>
        <v>2.7768000000000002</v>
      </c>
    </row>
    <row r="32" spans="1:25" x14ac:dyDescent="0.25">
      <c r="A32" s="34">
        <f t="shared" si="10"/>
        <v>24</v>
      </c>
      <c r="B32" s="35">
        <f t="shared" si="10"/>
        <v>23</v>
      </c>
      <c r="C32" s="40" t="s">
        <v>25</v>
      </c>
      <c r="D32" s="35">
        <v>1</v>
      </c>
      <c r="E32" s="35"/>
      <c r="F32" s="36">
        <f>135669/1000000</f>
        <v>0.13566900000000001</v>
      </c>
      <c r="G32" s="36">
        <f t="shared" si="0"/>
        <v>2.6726793000000002E-2</v>
      </c>
      <c r="H32" s="36">
        <f>58144/1000000</f>
        <v>5.8144000000000001E-2</v>
      </c>
      <c r="I32" s="37">
        <f t="shared" si="4"/>
        <v>8.7215999999999995E-3</v>
      </c>
      <c r="J32" s="32">
        <f t="shared" si="1"/>
        <v>0.1293704</v>
      </c>
      <c r="K32" s="33">
        <f t="shared" si="5"/>
        <v>1.9405559999999999E-2</v>
      </c>
      <c r="L32" s="33"/>
      <c r="O32" s="2">
        <f t="shared" si="7"/>
        <v>2.4226666666666667E-2</v>
      </c>
      <c r="P32" s="2">
        <f t="shared" si="8"/>
        <v>17.443199999999997</v>
      </c>
      <c r="Q32" s="7">
        <f t="shared" si="9"/>
        <v>78.999999999999986</v>
      </c>
      <c r="R32" s="2">
        <v>1.2</v>
      </c>
      <c r="S32" s="2">
        <f t="shared" si="2"/>
        <v>4.45</v>
      </c>
      <c r="T32" s="2"/>
      <c r="U32" s="2"/>
      <c r="Y32" s="8">
        <f t="shared" si="3"/>
        <v>2.8124000000000002</v>
      </c>
    </row>
    <row r="33" spans="1:25" x14ac:dyDescent="0.25">
      <c r="A33" s="34">
        <f t="shared" si="10"/>
        <v>25</v>
      </c>
      <c r="B33" s="35">
        <f t="shared" si="10"/>
        <v>24</v>
      </c>
      <c r="C33" s="40" t="s">
        <v>25</v>
      </c>
      <c r="D33" s="35">
        <v>2</v>
      </c>
      <c r="E33" s="35"/>
      <c r="F33" s="36">
        <f>177842/1000000</f>
        <v>0.177842</v>
      </c>
      <c r="G33" s="36">
        <f t="shared" si="0"/>
        <v>3.5034874000000001E-2</v>
      </c>
      <c r="H33" s="36">
        <f>85378/1000000</f>
        <v>8.5377999999999996E-2</v>
      </c>
      <c r="I33" s="37">
        <f t="shared" si="4"/>
        <v>1.2806699999999999E-2</v>
      </c>
      <c r="J33" s="32">
        <f t="shared" si="1"/>
        <v>0.18996605</v>
      </c>
      <c r="K33" s="33">
        <f t="shared" si="5"/>
        <v>2.84949075E-2</v>
      </c>
      <c r="L33" s="33"/>
      <c r="O33" s="2">
        <f t="shared" si="7"/>
        <v>3.5574166666666664E-2</v>
      </c>
      <c r="P33" s="2">
        <f t="shared" si="8"/>
        <v>25.613399999999999</v>
      </c>
      <c r="Q33" s="7">
        <f t="shared" si="9"/>
        <v>116.00271739130434</v>
      </c>
      <c r="R33" s="2">
        <v>1.2</v>
      </c>
      <c r="S33" s="2">
        <f t="shared" si="2"/>
        <v>4.45</v>
      </c>
      <c r="T33" s="2"/>
      <c r="U33" s="2"/>
      <c r="Y33" s="8">
        <f t="shared" si="3"/>
        <v>4.1296967391304342</v>
      </c>
    </row>
    <row r="34" spans="1:25" x14ac:dyDescent="0.25">
      <c r="A34" s="34">
        <f t="shared" si="10"/>
        <v>26</v>
      </c>
      <c r="B34" s="35">
        <f t="shared" si="10"/>
        <v>25</v>
      </c>
      <c r="C34" s="40" t="s">
        <v>25</v>
      </c>
      <c r="D34" s="35">
        <v>3</v>
      </c>
      <c r="E34" s="35"/>
      <c r="F34" s="36">
        <f>142735/1000000</f>
        <v>0.142735</v>
      </c>
      <c r="G34" s="36">
        <f t="shared" si="0"/>
        <v>2.8118795000000002E-2</v>
      </c>
      <c r="H34" s="36">
        <f>58880/1000000</f>
        <v>5.8880000000000002E-2</v>
      </c>
      <c r="I34" s="37">
        <f t="shared" si="4"/>
        <v>8.8319999999999996E-3</v>
      </c>
      <c r="J34" s="32">
        <f t="shared" si="1"/>
        <v>0.13100800000000001</v>
      </c>
      <c r="K34" s="33">
        <f t="shared" si="5"/>
        <v>1.9651200000000001E-2</v>
      </c>
      <c r="L34" s="33"/>
      <c r="O34" s="2">
        <f t="shared" si="7"/>
        <v>2.4533333333333334E-2</v>
      </c>
      <c r="P34" s="2">
        <f t="shared" si="8"/>
        <v>17.664000000000001</v>
      </c>
      <c r="Q34" s="7">
        <f t="shared" si="9"/>
        <v>80.000000000000014</v>
      </c>
      <c r="R34" s="2">
        <v>1.2</v>
      </c>
      <c r="S34" s="2">
        <f t="shared" si="2"/>
        <v>4.45</v>
      </c>
      <c r="T34" s="2"/>
      <c r="U34" s="2"/>
      <c r="Y34" s="8">
        <f t="shared" si="3"/>
        <v>2.8480000000000003</v>
      </c>
    </row>
    <row r="35" spans="1:25" x14ac:dyDescent="0.25">
      <c r="A35" s="34">
        <f t="shared" si="10"/>
        <v>27</v>
      </c>
      <c r="B35" s="35">
        <f t="shared" si="10"/>
        <v>26</v>
      </c>
      <c r="C35" s="40" t="s">
        <v>25</v>
      </c>
      <c r="D35" s="35">
        <v>4</v>
      </c>
      <c r="E35" s="35"/>
      <c r="F35" s="36">
        <f>177303/1000000</f>
        <v>0.17730299999999999</v>
      </c>
      <c r="G35" s="36">
        <f t="shared" si="0"/>
        <v>3.4928690999999998E-2</v>
      </c>
      <c r="H35" s="36">
        <f>82433/1000000</f>
        <v>8.2433000000000006E-2</v>
      </c>
      <c r="I35" s="37">
        <f t="shared" si="4"/>
        <v>1.2364950000000001E-2</v>
      </c>
      <c r="J35" s="32">
        <f t="shared" si="1"/>
        <v>0.18341342500000005</v>
      </c>
      <c r="K35" s="33">
        <f t="shared" si="5"/>
        <v>2.7512013750000005E-2</v>
      </c>
      <c r="L35" s="33"/>
      <c r="O35" s="2">
        <f t="shared" si="7"/>
        <v>3.4347083333333341E-2</v>
      </c>
      <c r="P35" s="2">
        <f t="shared" si="8"/>
        <v>24.729900000000008</v>
      </c>
      <c r="Q35" s="7">
        <f t="shared" si="9"/>
        <v>112.00135869565221</v>
      </c>
      <c r="R35" s="2">
        <v>1.2</v>
      </c>
      <c r="S35" s="2">
        <f t="shared" si="2"/>
        <v>4.45</v>
      </c>
      <c r="T35" s="2"/>
      <c r="U35" s="2"/>
      <c r="Y35" s="8">
        <f t="shared" si="3"/>
        <v>3.9872483695652186</v>
      </c>
    </row>
    <row r="36" spans="1:25" x14ac:dyDescent="0.25">
      <c r="A36" s="34">
        <f t="shared" si="10"/>
        <v>28</v>
      </c>
      <c r="B36" s="35"/>
      <c r="C36" s="40" t="s">
        <v>25</v>
      </c>
      <c r="D36" s="35" t="s">
        <v>26</v>
      </c>
      <c r="E36" s="35">
        <v>1</v>
      </c>
      <c r="F36" s="36">
        <f>320546/1000000/2</f>
        <v>0.160273</v>
      </c>
      <c r="G36" s="36">
        <f>F36*0.197</f>
        <v>3.1573781000000002E-2</v>
      </c>
      <c r="H36" s="36">
        <f>125120/1000000</f>
        <v>0.12512000000000001</v>
      </c>
      <c r="I36" s="37">
        <f>H36*0.15</f>
        <v>1.8768E-2</v>
      </c>
      <c r="J36" s="32">
        <f t="shared" si="1"/>
        <v>0.23147200000000004</v>
      </c>
      <c r="K36" s="33">
        <f t="shared" si="5"/>
        <v>3.4720800000000003E-2</v>
      </c>
      <c r="L36" s="33"/>
      <c r="O36" s="2">
        <f t="shared" si="7"/>
        <v>5.2133333333333337E-2</v>
      </c>
      <c r="P36" s="2">
        <f t="shared" si="8"/>
        <v>37.536000000000001</v>
      </c>
      <c r="Q36" s="7">
        <f t="shared" si="9"/>
        <v>170</v>
      </c>
      <c r="R36" s="2">
        <v>1.2</v>
      </c>
      <c r="S36" s="2">
        <f t="shared" si="2"/>
        <v>3.7</v>
      </c>
      <c r="T36" s="2"/>
      <c r="U36" s="2"/>
      <c r="Y36" s="8">
        <f t="shared" si="3"/>
        <v>5.0320000000000009</v>
      </c>
    </row>
    <row r="37" spans="1:25" x14ac:dyDescent="0.25">
      <c r="A37" s="34">
        <f t="shared" si="10"/>
        <v>29</v>
      </c>
      <c r="B37" s="35"/>
      <c r="C37" s="40" t="s">
        <v>25</v>
      </c>
      <c r="D37" s="35" t="s">
        <v>26</v>
      </c>
      <c r="E37" s="35">
        <v>2</v>
      </c>
      <c r="F37" s="36">
        <f>320546/1000000/2</f>
        <v>0.160273</v>
      </c>
      <c r="G37" s="36">
        <f>F37*0.197</f>
        <v>3.1573781000000002E-2</v>
      </c>
      <c r="H37" s="36"/>
      <c r="I37" s="37"/>
      <c r="J37" s="32">
        <f t="shared" si="1"/>
        <v>0</v>
      </c>
      <c r="K37" s="33">
        <f t="shared" si="5"/>
        <v>0</v>
      </c>
      <c r="L37" s="33"/>
      <c r="O37" s="2">
        <f t="shared" si="7"/>
        <v>0</v>
      </c>
      <c r="P37" s="2">
        <f t="shared" si="8"/>
        <v>0</v>
      </c>
      <c r="Q37" s="7">
        <f t="shared" si="9"/>
        <v>0</v>
      </c>
      <c r="R37" s="2">
        <v>1.2</v>
      </c>
      <c r="S37" s="2">
        <f t="shared" si="2"/>
        <v>4.45</v>
      </c>
      <c r="T37" s="2"/>
      <c r="U37" s="2"/>
      <c r="Y37" s="8">
        <f t="shared" si="3"/>
        <v>0</v>
      </c>
    </row>
    <row r="38" spans="1:25" x14ac:dyDescent="0.25">
      <c r="A38" s="34">
        <f t="shared" si="10"/>
        <v>30</v>
      </c>
      <c r="B38" s="35">
        <f>B35+1</f>
        <v>27</v>
      </c>
      <c r="C38" s="40" t="s">
        <v>25</v>
      </c>
      <c r="D38" s="35">
        <v>5</v>
      </c>
      <c r="E38" s="35"/>
      <c r="F38" s="36">
        <f>180594/1000000</f>
        <v>0.180594</v>
      </c>
      <c r="G38" s="36">
        <f t="shared" si="0"/>
        <v>3.5577018000000002E-2</v>
      </c>
      <c r="H38" s="36">
        <f>78754/1000000</f>
        <v>7.8754000000000005E-2</v>
      </c>
      <c r="I38" s="37">
        <f t="shared" si="4"/>
        <v>1.18131E-2</v>
      </c>
      <c r="J38" s="32">
        <f t="shared" si="1"/>
        <v>0.17522765000000001</v>
      </c>
      <c r="K38" s="33">
        <f t="shared" si="5"/>
        <v>2.62841475E-2</v>
      </c>
      <c r="L38" s="33"/>
      <c r="O38" s="2">
        <f t="shared" si="7"/>
        <v>3.2814166666666672E-2</v>
      </c>
      <c r="P38" s="2">
        <f t="shared" si="8"/>
        <v>23.626200000000004</v>
      </c>
      <c r="Q38" s="7">
        <f t="shared" si="9"/>
        <v>107.00271739130437</v>
      </c>
      <c r="R38" s="2">
        <v>1.2</v>
      </c>
      <c r="S38" s="2">
        <f t="shared" si="2"/>
        <v>4.45</v>
      </c>
      <c r="T38" s="2"/>
      <c r="U38" s="2"/>
      <c r="Y38" s="8">
        <f t="shared" si="3"/>
        <v>3.8092967391304349</v>
      </c>
    </row>
    <row r="39" spans="1:25" x14ac:dyDescent="0.25">
      <c r="A39" s="34">
        <f t="shared" si="10"/>
        <v>31</v>
      </c>
      <c r="B39" s="35">
        <f t="shared" si="10"/>
        <v>28</v>
      </c>
      <c r="C39" s="40" t="s">
        <v>25</v>
      </c>
      <c r="D39" s="35">
        <v>6</v>
      </c>
      <c r="E39" s="35"/>
      <c r="F39" s="36">
        <f>143517/1000000</f>
        <v>0.14351700000000001</v>
      </c>
      <c r="G39" s="36">
        <f t="shared" si="0"/>
        <v>2.8272849000000003E-2</v>
      </c>
      <c r="H39" s="36">
        <f>52994/1000000</f>
        <v>5.2993999999999999E-2</v>
      </c>
      <c r="I39" s="37">
        <f t="shared" si="4"/>
        <v>7.9490999999999989E-3</v>
      </c>
      <c r="J39" s="32">
        <f t="shared" si="1"/>
        <v>0.11791165000000001</v>
      </c>
      <c r="K39" s="33">
        <f t="shared" si="5"/>
        <v>1.7686747499999999E-2</v>
      </c>
      <c r="L39" s="33"/>
      <c r="O39" s="2">
        <f t="shared" si="7"/>
        <v>2.2080833333333334E-2</v>
      </c>
      <c r="P39" s="2">
        <f t="shared" si="8"/>
        <v>15.898200000000003</v>
      </c>
      <c r="Q39" s="7">
        <f t="shared" si="9"/>
        <v>72.002717391304358</v>
      </c>
      <c r="R39" s="2">
        <v>1.2</v>
      </c>
      <c r="S39" s="2">
        <f t="shared" si="2"/>
        <v>4.45</v>
      </c>
      <c r="T39" s="2"/>
      <c r="U39" s="2"/>
      <c r="Y39" s="8">
        <f t="shared" si="3"/>
        <v>2.5632967391304349</v>
      </c>
    </row>
    <row r="40" spans="1:25" x14ac:dyDescent="0.25">
      <c r="A40" s="34">
        <f t="shared" si="10"/>
        <v>32</v>
      </c>
      <c r="B40" s="35">
        <f t="shared" si="10"/>
        <v>29</v>
      </c>
      <c r="C40" s="40" t="s">
        <v>25</v>
      </c>
      <c r="D40" s="35" t="s">
        <v>27</v>
      </c>
      <c r="E40" s="35"/>
      <c r="F40" s="36">
        <f>143517/1000000</f>
        <v>0.14351700000000001</v>
      </c>
      <c r="G40" s="36">
        <f t="shared" si="0"/>
        <v>2.8272849000000003E-2</v>
      </c>
      <c r="H40" s="36">
        <f>66977/1000000</f>
        <v>6.6976999999999995E-2</v>
      </c>
      <c r="I40" s="37">
        <f t="shared" si="4"/>
        <v>1.004655E-2</v>
      </c>
      <c r="J40" s="32">
        <f t="shared" si="1"/>
        <v>0.149023825</v>
      </c>
      <c r="K40" s="33">
        <f t="shared" si="5"/>
        <v>2.2353573749999998E-2</v>
      </c>
      <c r="L40" s="33"/>
      <c r="O40" s="2">
        <f t="shared" si="7"/>
        <v>2.7907083333333332E-2</v>
      </c>
      <c r="P40" s="2">
        <f t="shared" si="8"/>
        <v>20.0931</v>
      </c>
      <c r="Q40" s="7">
        <f t="shared" si="9"/>
        <v>91.001358695652172</v>
      </c>
      <c r="R40" s="2">
        <v>1.2</v>
      </c>
      <c r="S40" s="2">
        <f t="shared" si="2"/>
        <v>4.45</v>
      </c>
      <c r="T40" s="2"/>
      <c r="U40" s="2"/>
      <c r="Y40" s="8">
        <f t="shared" si="3"/>
        <v>3.2396483695652174</v>
      </c>
    </row>
    <row r="41" spans="1:25" x14ac:dyDescent="0.25">
      <c r="A41" s="34">
        <f t="shared" si="10"/>
        <v>33</v>
      </c>
      <c r="B41" s="35">
        <f t="shared" si="10"/>
        <v>30</v>
      </c>
      <c r="C41" s="40" t="s">
        <v>25</v>
      </c>
      <c r="D41" s="35" t="s">
        <v>28</v>
      </c>
      <c r="E41" s="35"/>
      <c r="F41" s="36">
        <f>143517/1000000</f>
        <v>0.14351700000000001</v>
      </c>
      <c r="G41" s="36">
        <f t="shared" si="0"/>
        <v>2.8272849000000003E-2</v>
      </c>
      <c r="H41" s="36">
        <f>52258/1000000</f>
        <v>5.2257999999999999E-2</v>
      </c>
      <c r="I41" s="37">
        <f t="shared" si="4"/>
        <v>7.8386999999999988E-3</v>
      </c>
      <c r="J41" s="32">
        <f t="shared" si="1"/>
        <v>0.11627405</v>
      </c>
      <c r="K41" s="33">
        <f t="shared" si="5"/>
        <v>1.7441107500000001E-2</v>
      </c>
      <c r="L41" s="33"/>
      <c r="O41" s="2">
        <f t="shared" si="7"/>
        <v>2.1774166666666667E-2</v>
      </c>
      <c r="P41" s="2">
        <f t="shared" si="8"/>
        <v>15.677400000000002</v>
      </c>
      <c r="Q41" s="7">
        <f t="shared" si="9"/>
        <v>71.002717391304358</v>
      </c>
      <c r="R41" s="2">
        <v>1.2</v>
      </c>
      <c r="S41" s="2">
        <f t="shared" si="2"/>
        <v>4.45</v>
      </c>
      <c r="T41" s="2"/>
      <c r="U41" s="2"/>
      <c r="Y41" s="8">
        <f t="shared" si="3"/>
        <v>2.5276967391304348</v>
      </c>
    </row>
    <row r="42" spans="1:25" x14ac:dyDescent="0.25">
      <c r="A42" s="34">
        <f t="shared" si="10"/>
        <v>34</v>
      </c>
      <c r="B42" s="35">
        <f t="shared" si="10"/>
        <v>31</v>
      </c>
      <c r="C42" s="40" t="s">
        <v>25</v>
      </c>
      <c r="D42" s="35">
        <v>7</v>
      </c>
      <c r="E42" s="35"/>
      <c r="F42" s="36">
        <f>184000/1000000</f>
        <v>0.184</v>
      </c>
      <c r="G42" s="36">
        <f t="shared" si="0"/>
        <v>3.6248000000000002E-2</v>
      </c>
      <c r="H42" s="36">
        <f>83904/1000000</f>
        <v>8.3904000000000006E-2</v>
      </c>
      <c r="I42" s="37">
        <f t="shared" si="4"/>
        <v>1.2585600000000001E-2</v>
      </c>
      <c r="J42" s="32">
        <f t="shared" si="1"/>
        <v>0.18668640000000003</v>
      </c>
      <c r="K42" s="33">
        <f t="shared" si="5"/>
        <v>2.8002960000000004E-2</v>
      </c>
      <c r="L42" s="33"/>
      <c r="O42" s="2">
        <f t="shared" si="7"/>
        <v>3.4960000000000005E-2</v>
      </c>
      <c r="P42" s="2">
        <f t="shared" si="8"/>
        <v>25.171200000000002</v>
      </c>
      <c r="Q42" s="7">
        <f t="shared" si="9"/>
        <v>114.00000000000001</v>
      </c>
      <c r="R42" s="2">
        <v>1.2</v>
      </c>
      <c r="S42" s="2">
        <f t="shared" si="2"/>
        <v>4.45</v>
      </c>
      <c r="T42" s="2"/>
      <c r="U42" s="2"/>
      <c r="Y42" s="8">
        <f t="shared" si="3"/>
        <v>4.0584000000000007</v>
      </c>
    </row>
    <row r="43" spans="1:25" x14ac:dyDescent="0.25">
      <c r="A43" s="34">
        <f t="shared" ref="A43:B58" si="11">A42+1</f>
        <v>35</v>
      </c>
      <c r="B43" s="35">
        <f t="shared" si="11"/>
        <v>32</v>
      </c>
      <c r="C43" s="40" t="s">
        <v>25</v>
      </c>
      <c r="D43" s="35">
        <v>8</v>
      </c>
      <c r="E43" s="35"/>
      <c r="F43" s="36">
        <f>175644/1000000</f>
        <v>0.17564399999999999</v>
      </c>
      <c r="G43" s="36">
        <f t="shared" si="0"/>
        <v>3.4601868000000001E-2</v>
      </c>
      <c r="H43" s="36">
        <f>75072/1000000</f>
        <v>7.5072E-2</v>
      </c>
      <c r="I43" s="37">
        <f t="shared" si="4"/>
        <v>1.12608E-2</v>
      </c>
      <c r="J43" s="32">
        <f t="shared" si="1"/>
        <v>0.16703519999999999</v>
      </c>
      <c r="K43" s="33">
        <f t="shared" si="5"/>
        <v>2.5055279999999999E-2</v>
      </c>
      <c r="L43" s="33"/>
      <c r="O43" s="2">
        <f t="shared" si="7"/>
        <v>3.1280000000000002E-2</v>
      </c>
      <c r="P43" s="2">
        <f t="shared" si="8"/>
        <v>22.521600000000003</v>
      </c>
      <c r="Q43" s="7">
        <f t="shared" si="9"/>
        <v>102.00000000000001</v>
      </c>
      <c r="R43" s="2">
        <v>1.2</v>
      </c>
      <c r="S43" s="2">
        <f t="shared" si="2"/>
        <v>4.45</v>
      </c>
      <c r="T43" s="2"/>
      <c r="U43" s="2"/>
      <c r="Y43" s="8">
        <f t="shared" si="3"/>
        <v>3.6311999999999998</v>
      </c>
    </row>
    <row r="44" spans="1:25" x14ac:dyDescent="0.25">
      <c r="A44" s="34">
        <f t="shared" si="11"/>
        <v>36</v>
      </c>
      <c r="B44" s="35">
        <f t="shared" si="11"/>
        <v>33</v>
      </c>
      <c r="C44" s="40" t="s">
        <v>25</v>
      </c>
      <c r="D44" s="35">
        <v>14</v>
      </c>
      <c r="E44" s="35"/>
      <c r="F44" s="36">
        <f>178855/1000000</f>
        <v>0.17885499999999999</v>
      </c>
      <c r="G44" s="36">
        <f t="shared" si="0"/>
        <v>3.5234435000000001E-2</v>
      </c>
      <c r="H44" s="36">
        <f>91262/1000000</f>
        <v>9.1261999999999996E-2</v>
      </c>
      <c r="I44" s="37">
        <f t="shared" si="4"/>
        <v>1.36893E-2</v>
      </c>
      <c r="J44" s="32">
        <f t="shared" si="1"/>
        <v>0.20305794999999999</v>
      </c>
      <c r="K44" s="33">
        <f t="shared" si="5"/>
        <v>3.0458692499999995E-2</v>
      </c>
      <c r="L44" s="33"/>
      <c r="O44" s="2">
        <f t="shared" si="7"/>
        <v>3.8025833333333335E-2</v>
      </c>
      <c r="P44" s="2">
        <f t="shared" si="8"/>
        <v>27.378599999999999</v>
      </c>
      <c r="Q44" s="7">
        <f t="shared" si="9"/>
        <v>123.99728260869564</v>
      </c>
      <c r="R44" s="2">
        <v>1.2</v>
      </c>
      <c r="S44" s="2">
        <f t="shared" si="2"/>
        <v>4.45</v>
      </c>
      <c r="T44" s="2"/>
      <c r="U44" s="2"/>
      <c r="Y44" s="8">
        <f t="shared" si="3"/>
        <v>4.4143032608695654</v>
      </c>
    </row>
    <row r="45" spans="1:25" x14ac:dyDescent="0.25">
      <c r="A45" s="34">
        <f t="shared" si="11"/>
        <v>37</v>
      </c>
      <c r="B45" s="35">
        <f t="shared" si="11"/>
        <v>34</v>
      </c>
      <c r="C45" s="40" t="s">
        <v>25</v>
      </c>
      <c r="D45" s="35" t="s">
        <v>29</v>
      </c>
      <c r="E45" s="35"/>
      <c r="F45" s="36">
        <f>160334/1000000</f>
        <v>0.160334</v>
      </c>
      <c r="G45" s="36">
        <f t="shared" si="0"/>
        <v>3.1585798000000005E-2</v>
      </c>
      <c r="H45" s="36">
        <f>61824/1000000</f>
        <v>6.1823999999999997E-2</v>
      </c>
      <c r="I45" s="37">
        <f t="shared" si="4"/>
        <v>9.2735999999999999E-3</v>
      </c>
      <c r="J45" s="32">
        <f t="shared" si="1"/>
        <v>0.13755839999999997</v>
      </c>
      <c r="K45" s="33">
        <f t="shared" si="5"/>
        <v>2.0633759999999994E-2</v>
      </c>
      <c r="L45" s="33"/>
      <c r="O45" s="2">
        <f t="shared" si="7"/>
        <v>2.5759999999999998E-2</v>
      </c>
      <c r="P45" s="2">
        <f t="shared" si="8"/>
        <v>18.547199999999997</v>
      </c>
      <c r="Q45" s="7">
        <f t="shared" si="9"/>
        <v>83.999999999999986</v>
      </c>
      <c r="R45" s="2">
        <v>1.2</v>
      </c>
      <c r="S45" s="2">
        <f t="shared" si="2"/>
        <v>4.45</v>
      </c>
      <c r="T45" s="2"/>
      <c r="U45" s="2"/>
      <c r="Y45" s="8">
        <f t="shared" si="3"/>
        <v>2.9903999999999993</v>
      </c>
    </row>
    <row r="46" spans="1:25" x14ac:dyDescent="0.25">
      <c r="A46" s="34">
        <f t="shared" si="11"/>
        <v>38</v>
      </c>
      <c r="B46" s="35">
        <f t="shared" si="11"/>
        <v>35</v>
      </c>
      <c r="C46" s="40" t="s">
        <v>25</v>
      </c>
      <c r="D46" s="35" t="s">
        <v>30</v>
      </c>
      <c r="E46" s="35"/>
      <c r="F46" s="36">
        <f>132101/1000000</f>
        <v>0.132101</v>
      </c>
      <c r="G46" s="36">
        <f t="shared" si="0"/>
        <v>2.6023897000000001E-2</v>
      </c>
      <c r="H46" s="36">
        <f>49313/1000000</f>
        <v>4.9313000000000003E-2</v>
      </c>
      <c r="I46" s="37">
        <f t="shared" si="4"/>
        <v>7.3969500000000002E-3</v>
      </c>
      <c r="J46" s="32">
        <f t="shared" si="1"/>
        <v>0.10972142500000001</v>
      </c>
      <c r="K46" s="33">
        <f t="shared" si="5"/>
        <v>1.6458213750000002E-2</v>
      </c>
      <c r="L46" s="33"/>
      <c r="O46" s="2">
        <f t="shared" si="7"/>
        <v>2.0547083333333334E-2</v>
      </c>
      <c r="P46" s="2">
        <f t="shared" si="8"/>
        <v>14.793900000000001</v>
      </c>
      <c r="Q46" s="7">
        <f t="shared" si="9"/>
        <v>67.001358695652172</v>
      </c>
      <c r="R46" s="2">
        <v>1.2</v>
      </c>
      <c r="S46" s="2">
        <f t="shared" si="2"/>
        <v>4.45</v>
      </c>
      <c r="T46" s="2"/>
      <c r="U46" s="2"/>
      <c r="Y46" s="8">
        <f t="shared" si="3"/>
        <v>2.3852483695652178</v>
      </c>
    </row>
    <row r="47" spans="1:25" x14ac:dyDescent="0.25">
      <c r="A47" s="34">
        <f t="shared" si="11"/>
        <v>39</v>
      </c>
      <c r="B47" s="35">
        <f t="shared" si="11"/>
        <v>36</v>
      </c>
      <c r="C47" s="40" t="s">
        <v>25</v>
      </c>
      <c r="D47" s="35">
        <v>15</v>
      </c>
      <c r="E47" s="35"/>
      <c r="F47" s="36">
        <f>179876/1000000</f>
        <v>0.17987600000000001</v>
      </c>
      <c r="G47" s="36">
        <f t="shared" si="0"/>
        <v>3.5435572000000005E-2</v>
      </c>
      <c r="H47" s="36">
        <f>85378/1000000</f>
        <v>8.5377999999999996E-2</v>
      </c>
      <c r="I47" s="37">
        <f t="shared" si="4"/>
        <v>1.2806699999999999E-2</v>
      </c>
      <c r="J47" s="32">
        <f t="shared" si="1"/>
        <v>0.18996605</v>
      </c>
      <c r="K47" s="33">
        <f t="shared" si="5"/>
        <v>2.84949075E-2</v>
      </c>
      <c r="L47" s="33"/>
      <c r="O47" s="2">
        <f t="shared" si="7"/>
        <v>3.5574166666666664E-2</v>
      </c>
      <c r="P47" s="2">
        <f t="shared" si="8"/>
        <v>25.613399999999999</v>
      </c>
      <c r="Q47" s="7">
        <f t="shared" si="9"/>
        <v>116.00271739130434</v>
      </c>
      <c r="R47" s="2">
        <v>1.2</v>
      </c>
      <c r="S47" s="2">
        <f t="shared" si="2"/>
        <v>4.45</v>
      </c>
      <c r="T47" s="2"/>
      <c r="U47" s="2"/>
      <c r="Y47" s="8">
        <f t="shared" si="3"/>
        <v>4.1296967391304342</v>
      </c>
    </row>
    <row r="48" spans="1:25" x14ac:dyDescent="0.25">
      <c r="A48" s="34">
        <f t="shared" si="11"/>
        <v>40</v>
      </c>
      <c r="B48" s="35">
        <f t="shared" si="11"/>
        <v>37</v>
      </c>
      <c r="C48" s="40" t="s">
        <v>25</v>
      </c>
      <c r="D48" s="35" t="s">
        <v>31</v>
      </c>
      <c r="E48" s="35"/>
      <c r="F48" s="36">
        <f>157819/1000000</f>
        <v>0.15781899999999999</v>
      </c>
      <c r="G48" s="36">
        <f t="shared" si="0"/>
        <v>3.1090342999999999E-2</v>
      </c>
      <c r="H48" s="36">
        <f>60353/1000000</f>
        <v>6.0352999999999997E-2</v>
      </c>
      <c r="I48" s="37">
        <f t="shared" si="4"/>
        <v>9.0529499999999988E-3</v>
      </c>
      <c r="J48" s="32">
        <f t="shared" si="1"/>
        <v>0.13428542499999999</v>
      </c>
      <c r="K48" s="33">
        <f t="shared" si="5"/>
        <v>2.0142813749999999E-2</v>
      </c>
      <c r="L48" s="33"/>
      <c r="O48" s="2">
        <f t="shared" si="7"/>
        <v>2.5147083333333334E-2</v>
      </c>
      <c r="P48" s="2">
        <f t="shared" si="8"/>
        <v>18.105900000000002</v>
      </c>
      <c r="Q48" s="7">
        <f t="shared" si="9"/>
        <v>82.001358695652186</v>
      </c>
      <c r="R48" s="2">
        <v>1.2</v>
      </c>
      <c r="S48" s="2">
        <f t="shared" si="2"/>
        <v>4.45</v>
      </c>
      <c r="T48" s="2"/>
      <c r="U48" s="2"/>
      <c r="Y48" s="8">
        <f t="shared" si="3"/>
        <v>2.9192483695652172</v>
      </c>
    </row>
    <row r="49" spans="1:25" x14ac:dyDescent="0.25">
      <c r="A49" s="34">
        <f t="shared" si="11"/>
        <v>41</v>
      </c>
      <c r="B49" s="35">
        <f t="shared" si="11"/>
        <v>38</v>
      </c>
      <c r="C49" s="40" t="s">
        <v>25</v>
      </c>
      <c r="D49" s="35">
        <v>16</v>
      </c>
      <c r="E49" s="35"/>
      <c r="F49" s="36">
        <f>179876/1000000</f>
        <v>0.17987600000000001</v>
      </c>
      <c r="G49" s="36">
        <f t="shared" si="0"/>
        <v>3.5435572000000005E-2</v>
      </c>
      <c r="H49" s="36">
        <f>80959/1000000</f>
        <v>8.0959000000000003E-2</v>
      </c>
      <c r="I49" s="37">
        <f t="shared" si="4"/>
        <v>1.2143849999999999E-2</v>
      </c>
      <c r="J49" s="32">
        <f t="shared" si="1"/>
        <v>0.18013377500000002</v>
      </c>
      <c r="K49" s="33">
        <f t="shared" si="5"/>
        <v>2.7020066250000002E-2</v>
      </c>
      <c r="L49" s="33"/>
      <c r="O49" s="2">
        <f t="shared" si="7"/>
        <v>3.3732916666666668E-2</v>
      </c>
      <c r="P49" s="2">
        <f t="shared" si="8"/>
        <v>24.287700000000001</v>
      </c>
      <c r="Q49" s="7">
        <f t="shared" si="9"/>
        <v>109.99864130434783</v>
      </c>
      <c r="R49" s="2">
        <v>1.2</v>
      </c>
      <c r="S49" s="2">
        <f t="shared" si="2"/>
        <v>4.45</v>
      </c>
      <c r="T49" s="2"/>
      <c r="U49" s="2"/>
      <c r="Y49" s="8">
        <f t="shared" si="3"/>
        <v>3.9159516304347832</v>
      </c>
    </row>
    <row r="50" spans="1:25" x14ac:dyDescent="0.25">
      <c r="A50" s="34">
        <f t="shared" si="11"/>
        <v>42</v>
      </c>
      <c r="B50" s="35">
        <f t="shared" si="11"/>
        <v>39</v>
      </c>
      <c r="C50" s="40" t="s">
        <v>25</v>
      </c>
      <c r="D50" s="35">
        <v>18</v>
      </c>
      <c r="E50" s="35"/>
      <c r="F50" s="36">
        <f>142697/1000000</f>
        <v>0.14269699999999999</v>
      </c>
      <c r="G50" s="36">
        <f t="shared" si="0"/>
        <v>2.8111309000000001E-2</v>
      </c>
      <c r="H50" s="36">
        <f>55937/1000000</f>
        <v>5.5937000000000001E-2</v>
      </c>
      <c r="I50" s="37">
        <f t="shared" si="4"/>
        <v>8.3905500000000001E-3</v>
      </c>
      <c r="J50" s="32">
        <f t="shared" si="1"/>
        <v>0.12445982500000002</v>
      </c>
      <c r="K50" s="33">
        <f t="shared" si="5"/>
        <v>1.8668973750000002E-2</v>
      </c>
      <c r="L50" s="33"/>
      <c r="O50" s="2">
        <f t="shared" si="7"/>
        <v>2.3307083333333336E-2</v>
      </c>
      <c r="P50" s="2">
        <f t="shared" si="8"/>
        <v>16.781100000000002</v>
      </c>
      <c r="Q50" s="7">
        <f t="shared" si="9"/>
        <v>76.001358695652186</v>
      </c>
      <c r="R50" s="2">
        <v>1.2</v>
      </c>
      <c r="S50" s="2">
        <f t="shared" si="2"/>
        <v>4.45</v>
      </c>
      <c r="T50" s="2"/>
      <c r="U50" s="2"/>
      <c r="Y50" s="8">
        <f t="shared" si="3"/>
        <v>2.705648369565218</v>
      </c>
    </row>
    <row r="51" spans="1:25" x14ac:dyDescent="0.25">
      <c r="A51" s="34">
        <f t="shared" si="11"/>
        <v>43</v>
      </c>
      <c r="B51" s="35">
        <f t="shared" si="11"/>
        <v>40</v>
      </c>
      <c r="C51" s="40" t="s">
        <v>25</v>
      </c>
      <c r="D51" s="35">
        <v>19</v>
      </c>
      <c r="E51" s="35"/>
      <c r="F51" s="36">
        <f>171624/1000000</f>
        <v>0.171624</v>
      </c>
      <c r="G51" s="36">
        <f t="shared" si="0"/>
        <v>3.3809928000000003E-2</v>
      </c>
      <c r="H51" s="36">
        <f>58142/1000000</f>
        <v>5.8141999999999999E-2</v>
      </c>
      <c r="I51" s="37">
        <f t="shared" si="4"/>
        <v>8.7212999999999995E-3</v>
      </c>
      <c r="J51" s="32">
        <f t="shared" si="1"/>
        <v>0.12936595000000001</v>
      </c>
      <c r="K51" s="33">
        <f t="shared" si="5"/>
        <v>1.94048925E-2</v>
      </c>
      <c r="L51" s="33"/>
      <c r="O51" s="2">
        <f t="shared" si="7"/>
        <v>2.4225833333333335E-2</v>
      </c>
      <c r="P51" s="2">
        <f t="shared" si="8"/>
        <v>17.442600000000002</v>
      </c>
      <c r="Q51" s="7">
        <f t="shared" si="9"/>
        <v>78.99728260869567</v>
      </c>
      <c r="R51" s="2">
        <v>1.2</v>
      </c>
      <c r="S51" s="2">
        <f t="shared" si="2"/>
        <v>4.45</v>
      </c>
      <c r="T51" s="2"/>
      <c r="U51" s="2"/>
      <c r="Y51" s="8">
        <f t="shared" si="3"/>
        <v>2.8123032608695655</v>
      </c>
    </row>
    <row r="52" spans="1:25" x14ac:dyDescent="0.25">
      <c r="A52" s="34">
        <f t="shared" si="11"/>
        <v>44</v>
      </c>
      <c r="B52" s="35">
        <f t="shared" si="11"/>
        <v>41</v>
      </c>
      <c r="C52" s="40" t="s">
        <v>25</v>
      </c>
      <c r="D52" s="41" t="s">
        <v>32</v>
      </c>
      <c r="E52" s="35"/>
      <c r="F52" s="36">
        <f>193277/1000000</f>
        <v>0.193277</v>
      </c>
      <c r="G52" s="36">
        <f t="shared" si="0"/>
        <v>3.8075569000000004E-2</v>
      </c>
      <c r="H52" s="36">
        <f>86114/1000000</f>
        <v>8.6113999999999996E-2</v>
      </c>
      <c r="I52" s="37">
        <f t="shared" si="4"/>
        <v>1.2917099999999999E-2</v>
      </c>
      <c r="J52" s="32">
        <f t="shared" si="1"/>
        <v>0.19160364999999999</v>
      </c>
      <c r="K52" s="33">
        <f t="shared" si="5"/>
        <v>2.8740547499999998E-2</v>
      </c>
      <c r="L52" s="33"/>
      <c r="O52" s="2">
        <f t="shared" si="7"/>
        <v>3.5880833333333334E-2</v>
      </c>
      <c r="P52" s="2">
        <f t="shared" si="8"/>
        <v>25.834199999999999</v>
      </c>
      <c r="Q52" s="7">
        <f t="shared" si="9"/>
        <v>117.00271739130434</v>
      </c>
      <c r="R52" s="2">
        <v>1.2</v>
      </c>
      <c r="S52" s="2">
        <f t="shared" si="2"/>
        <v>4.45</v>
      </c>
      <c r="T52" s="2"/>
      <c r="U52" s="2"/>
      <c r="Y52" s="8">
        <f t="shared" si="3"/>
        <v>4.1652967391304347</v>
      </c>
    </row>
    <row r="53" spans="1:25" x14ac:dyDescent="0.25">
      <c r="A53" s="34">
        <f t="shared" si="11"/>
        <v>45</v>
      </c>
      <c r="B53" s="35">
        <f t="shared" si="11"/>
        <v>42</v>
      </c>
      <c r="C53" s="40" t="s">
        <v>25</v>
      </c>
      <c r="D53" s="41" t="s">
        <v>33</v>
      </c>
      <c r="E53" s="35"/>
      <c r="F53" s="36">
        <f>152091/1000000</f>
        <v>0.152091</v>
      </c>
      <c r="G53" s="36">
        <f t="shared" si="0"/>
        <v>2.9961927000000003E-2</v>
      </c>
      <c r="H53" s="36">
        <f>58142/1000000</f>
        <v>5.8141999999999999E-2</v>
      </c>
      <c r="I53" s="37">
        <f t="shared" si="4"/>
        <v>8.7212999999999995E-3</v>
      </c>
      <c r="J53" s="32">
        <f t="shared" si="1"/>
        <v>0.12936595000000001</v>
      </c>
      <c r="K53" s="33">
        <f t="shared" si="5"/>
        <v>1.94048925E-2</v>
      </c>
      <c r="L53" s="33"/>
      <c r="O53" s="2">
        <f t="shared" si="7"/>
        <v>2.4225833333333335E-2</v>
      </c>
      <c r="P53" s="2">
        <f t="shared" si="8"/>
        <v>17.442600000000002</v>
      </c>
      <c r="Q53" s="7">
        <f t="shared" si="9"/>
        <v>78.99728260869567</v>
      </c>
      <c r="R53" s="2">
        <v>1.2</v>
      </c>
      <c r="S53" s="2">
        <f t="shared" si="2"/>
        <v>4.45</v>
      </c>
      <c r="T53" s="2"/>
      <c r="U53" s="2"/>
      <c r="Y53" s="8">
        <f t="shared" si="3"/>
        <v>2.8123032608695655</v>
      </c>
    </row>
    <row r="54" spans="1:25" x14ac:dyDescent="0.25">
      <c r="A54" s="34">
        <f t="shared" si="11"/>
        <v>46</v>
      </c>
      <c r="B54" s="35">
        <f t="shared" si="11"/>
        <v>43</v>
      </c>
      <c r="C54" s="40" t="s">
        <v>25</v>
      </c>
      <c r="D54" s="41" t="s">
        <v>34</v>
      </c>
      <c r="E54" s="35"/>
      <c r="F54" s="36">
        <f>143631/1000000</f>
        <v>0.14363100000000001</v>
      </c>
      <c r="G54" s="36">
        <f t="shared" si="0"/>
        <v>2.8295307000000002E-2</v>
      </c>
      <c r="H54" s="36">
        <f>49313/1000000</f>
        <v>4.9313000000000003E-2</v>
      </c>
      <c r="I54" s="37">
        <f t="shared" si="4"/>
        <v>7.3969500000000002E-3</v>
      </c>
      <c r="J54" s="32">
        <f t="shared" si="1"/>
        <v>0.10972142500000001</v>
      </c>
      <c r="K54" s="33">
        <f t="shared" si="5"/>
        <v>1.6458213750000002E-2</v>
      </c>
      <c r="L54" s="33"/>
      <c r="O54" s="2">
        <f t="shared" si="7"/>
        <v>2.0547083333333334E-2</v>
      </c>
      <c r="P54" s="2">
        <f t="shared" si="8"/>
        <v>14.793900000000001</v>
      </c>
      <c r="Q54" s="7">
        <f t="shared" si="9"/>
        <v>67.001358695652172</v>
      </c>
      <c r="R54" s="2">
        <v>1.2</v>
      </c>
      <c r="S54" s="2">
        <f t="shared" si="2"/>
        <v>4.45</v>
      </c>
      <c r="T54" s="2"/>
      <c r="U54" s="2"/>
      <c r="Y54" s="8">
        <f t="shared" si="3"/>
        <v>2.3852483695652178</v>
      </c>
    </row>
    <row r="55" spans="1:25" x14ac:dyDescent="0.25">
      <c r="A55" s="34">
        <f t="shared" si="11"/>
        <v>47</v>
      </c>
      <c r="B55" s="35">
        <f t="shared" si="11"/>
        <v>44</v>
      </c>
      <c r="C55" s="40" t="s">
        <v>25</v>
      </c>
      <c r="D55" s="35" t="s">
        <v>35</v>
      </c>
      <c r="E55" s="35"/>
      <c r="F55" s="36">
        <f>180040/1000000</f>
        <v>0.18004000000000001</v>
      </c>
      <c r="G55" s="36">
        <f t="shared" si="0"/>
        <v>3.546788E-2</v>
      </c>
      <c r="H55" s="36">
        <f>78060/1000000</f>
        <v>7.8060000000000004E-2</v>
      </c>
      <c r="I55" s="37">
        <f t="shared" si="4"/>
        <v>1.1709000000000001E-2</v>
      </c>
      <c r="J55" s="32">
        <f t="shared" si="1"/>
        <v>0.17368350000000002</v>
      </c>
      <c r="K55" s="33">
        <f t="shared" si="5"/>
        <v>2.6052525000000003E-2</v>
      </c>
      <c r="L55" s="33"/>
      <c r="O55" s="2">
        <f t="shared" si="7"/>
        <v>3.2525000000000005E-2</v>
      </c>
      <c r="P55" s="2">
        <f t="shared" si="8"/>
        <v>23.418000000000006</v>
      </c>
      <c r="Q55" s="7">
        <f t="shared" si="9"/>
        <v>106.05978260869568</v>
      </c>
      <c r="R55" s="2">
        <v>1.2</v>
      </c>
      <c r="S55" s="2">
        <f t="shared" si="2"/>
        <v>4.45</v>
      </c>
      <c r="T55" s="2"/>
      <c r="U55" s="2"/>
      <c r="Y55" s="8">
        <f t="shared" si="3"/>
        <v>3.7757282608695655</v>
      </c>
    </row>
    <row r="56" spans="1:25" x14ac:dyDescent="0.25">
      <c r="A56" s="34">
        <f t="shared" si="11"/>
        <v>48</v>
      </c>
      <c r="B56" s="35">
        <f t="shared" si="11"/>
        <v>45</v>
      </c>
      <c r="C56" s="40" t="s">
        <v>25</v>
      </c>
      <c r="D56" s="35">
        <v>23</v>
      </c>
      <c r="E56" s="35"/>
      <c r="F56" s="36">
        <f>142162/1000000</f>
        <v>0.14216200000000001</v>
      </c>
      <c r="G56" s="36">
        <f t="shared" si="0"/>
        <v>2.8005914000000003E-2</v>
      </c>
      <c r="H56" s="36">
        <f>64032/1000000</f>
        <v>6.4032000000000006E-2</v>
      </c>
      <c r="I56" s="37">
        <f t="shared" si="4"/>
        <v>9.6048000000000001E-3</v>
      </c>
      <c r="J56" s="32">
        <f t="shared" si="1"/>
        <v>0.14247120000000002</v>
      </c>
      <c r="K56" s="33">
        <f t="shared" si="5"/>
        <v>2.1370680000000003E-2</v>
      </c>
      <c r="L56" s="33"/>
      <c r="O56" s="2">
        <f t="shared" si="7"/>
        <v>2.6680000000000002E-2</v>
      </c>
      <c r="P56" s="2">
        <f t="shared" si="8"/>
        <v>19.209600000000002</v>
      </c>
      <c r="Q56" s="7">
        <f t="shared" si="9"/>
        <v>87.000000000000014</v>
      </c>
      <c r="R56" s="2">
        <v>1.2</v>
      </c>
      <c r="S56" s="2">
        <f t="shared" si="2"/>
        <v>4.45</v>
      </c>
      <c r="T56" s="2"/>
      <c r="U56" s="2"/>
      <c r="Y56" s="8">
        <f t="shared" si="3"/>
        <v>3.0972000000000004</v>
      </c>
    </row>
    <row r="57" spans="1:25" x14ac:dyDescent="0.25">
      <c r="A57" s="34">
        <f t="shared" si="11"/>
        <v>49</v>
      </c>
      <c r="B57" s="35">
        <f t="shared" si="11"/>
        <v>46</v>
      </c>
      <c r="C57" s="40" t="s">
        <v>25</v>
      </c>
      <c r="D57" s="35">
        <v>26</v>
      </c>
      <c r="E57" s="35"/>
      <c r="F57" s="36">
        <f>194772/1000000</f>
        <v>0.194772</v>
      </c>
      <c r="G57" s="36">
        <f t="shared" si="0"/>
        <v>3.8370083999999999E-2</v>
      </c>
      <c r="H57" s="36">
        <f>75806/1000000</f>
        <v>7.5805999999999998E-2</v>
      </c>
      <c r="I57" s="37">
        <f t="shared" si="4"/>
        <v>1.13709E-2</v>
      </c>
      <c r="J57" s="32">
        <f t="shared" si="1"/>
        <v>0.16866834999999999</v>
      </c>
      <c r="K57" s="33">
        <f t="shared" si="5"/>
        <v>2.5300252499999999E-2</v>
      </c>
      <c r="L57" s="33"/>
      <c r="O57" s="2">
        <f t="shared" si="7"/>
        <v>3.1585833333333334E-2</v>
      </c>
      <c r="P57" s="2">
        <f t="shared" si="8"/>
        <v>22.741799999999998</v>
      </c>
      <c r="Q57" s="7">
        <f t="shared" si="9"/>
        <v>102.99728260869564</v>
      </c>
      <c r="R57" s="2">
        <v>1.2</v>
      </c>
      <c r="S57" s="2">
        <f t="shared" si="2"/>
        <v>4.45</v>
      </c>
      <c r="T57" s="2"/>
      <c r="U57" s="2"/>
      <c r="Y57" s="8">
        <f t="shared" si="3"/>
        <v>3.6667032608695651</v>
      </c>
    </row>
    <row r="58" spans="1:25" x14ac:dyDescent="0.25">
      <c r="A58" s="34">
        <f t="shared" si="11"/>
        <v>50</v>
      </c>
      <c r="B58" s="35">
        <f t="shared" si="11"/>
        <v>47</v>
      </c>
      <c r="C58" s="40" t="s">
        <v>25</v>
      </c>
      <c r="D58" s="35" t="s">
        <v>36</v>
      </c>
      <c r="E58" s="35"/>
      <c r="F58" s="36">
        <f>142000/1000000</f>
        <v>0.14199999999999999</v>
      </c>
      <c r="G58" s="36">
        <f t="shared" si="0"/>
        <v>2.7973999999999999E-2</v>
      </c>
      <c r="H58" s="36">
        <f>30178/1000000</f>
        <v>3.0178E-2</v>
      </c>
      <c r="I58" s="37">
        <f t="shared" si="4"/>
        <v>4.5266999999999998E-3</v>
      </c>
      <c r="J58" s="32">
        <f t="shared" si="1"/>
        <v>6.7146049999999999E-2</v>
      </c>
      <c r="K58" s="33">
        <f t="shared" si="5"/>
        <v>1.0071907499999999E-2</v>
      </c>
      <c r="L58" s="33"/>
      <c r="O58" s="2">
        <f t="shared" si="7"/>
        <v>1.2574166666666668E-2</v>
      </c>
      <c r="P58" s="2">
        <f t="shared" si="8"/>
        <v>9.0534000000000017</v>
      </c>
      <c r="Q58" s="7">
        <f t="shared" si="9"/>
        <v>41.002717391304358</v>
      </c>
      <c r="R58" s="2">
        <v>1.2</v>
      </c>
      <c r="S58" s="2">
        <f t="shared" si="2"/>
        <v>4.45</v>
      </c>
      <c r="T58" s="2"/>
      <c r="U58" s="2"/>
      <c r="Y58" s="8">
        <f t="shared" si="3"/>
        <v>1.4596967391304347</v>
      </c>
    </row>
    <row r="59" spans="1:25" x14ac:dyDescent="0.25">
      <c r="A59" s="34">
        <f t="shared" ref="A59:B74" si="12">A58+1</f>
        <v>51</v>
      </c>
      <c r="B59" s="35">
        <f t="shared" si="12"/>
        <v>48</v>
      </c>
      <c r="C59" s="40" t="s">
        <v>25</v>
      </c>
      <c r="D59" s="35" t="s">
        <v>37</v>
      </c>
      <c r="E59" s="35"/>
      <c r="F59" s="36">
        <f>139415/1000000</f>
        <v>0.13941500000000001</v>
      </c>
      <c r="G59" s="36">
        <f t="shared" si="0"/>
        <v>2.7464755000000004E-2</v>
      </c>
      <c r="H59" s="36">
        <f>31646/1000000</f>
        <v>3.1646000000000001E-2</v>
      </c>
      <c r="I59" s="37">
        <f t="shared" si="4"/>
        <v>4.7469000000000001E-3</v>
      </c>
      <c r="J59" s="32">
        <f t="shared" si="1"/>
        <v>7.0412349999999999E-2</v>
      </c>
      <c r="K59" s="33">
        <f t="shared" si="5"/>
        <v>1.05618525E-2</v>
      </c>
      <c r="L59" s="33"/>
      <c r="O59" s="2">
        <f t="shared" si="7"/>
        <v>1.3185833333333334E-2</v>
      </c>
      <c r="P59" s="2">
        <f t="shared" si="8"/>
        <v>9.4938000000000002</v>
      </c>
      <c r="Q59" s="7">
        <f t="shared" si="9"/>
        <v>42.997282608695656</v>
      </c>
      <c r="R59" s="2">
        <v>1.2</v>
      </c>
      <c r="S59" s="2">
        <f t="shared" si="2"/>
        <v>4.45</v>
      </c>
      <c r="T59" s="2"/>
      <c r="U59" s="2"/>
      <c r="Y59" s="8">
        <f t="shared" si="3"/>
        <v>1.5307032608695652</v>
      </c>
    </row>
    <row r="60" spans="1:25" x14ac:dyDescent="0.25">
      <c r="A60" s="34">
        <f t="shared" si="12"/>
        <v>52</v>
      </c>
      <c r="B60" s="35">
        <f t="shared" si="12"/>
        <v>49</v>
      </c>
      <c r="C60" s="40" t="s">
        <v>25</v>
      </c>
      <c r="D60" s="35">
        <v>27</v>
      </c>
      <c r="E60" s="35"/>
      <c r="F60" s="36">
        <f>143383/1000000</f>
        <v>0.14338300000000001</v>
      </c>
      <c r="G60" s="36">
        <f t="shared" si="0"/>
        <v>2.8246451000000002E-2</v>
      </c>
      <c r="H60" s="36">
        <f>60353/1000000</f>
        <v>6.0352999999999997E-2</v>
      </c>
      <c r="I60" s="37">
        <f t="shared" si="4"/>
        <v>9.0529499999999988E-3</v>
      </c>
      <c r="J60" s="32">
        <f t="shared" si="1"/>
        <v>0.13428542499999999</v>
      </c>
      <c r="K60" s="33">
        <f t="shared" si="5"/>
        <v>2.0142813749999999E-2</v>
      </c>
      <c r="L60" s="33"/>
      <c r="O60" s="2">
        <f t="shared" si="7"/>
        <v>2.5147083333333334E-2</v>
      </c>
      <c r="P60" s="2">
        <f t="shared" si="8"/>
        <v>18.105900000000002</v>
      </c>
      <c r="Q60" s="7">
        <f t="shared" si="9"/>
        <v>82.001358695652186</v>
      </c>
      <c r="R60" s="2">
        <v>1.2</v>
      </c>
      <c r="S60" s="2">
        <f t="shared" si="2"/>
        <v>4.45</v>
      </c>
      <c r="T60" s="2"/>
      <c r="U60" s="2"/>
      <c r="Y60" s="8">
        <f t="shared" si="3"/>
        <v>2.9192483695652172</v>
      </c>
    </row>
    <row r="61" spans="1:25" x14ac:dyDescent="0.25">
      <c r="A61" s="34">
        <f t="shared" si="12"/>
        <v>53</v>
      </c>
      <c r="B61" s="35">
        <f t="shared" si="12"/>
        <v>50</v>
      </c>
      <c r="C61" s="40" t="s">
        <v>25</v>
      </c>
      <c r="D61" s="35">
        <v>28</v>
      </c>
      <c r="E61" s="35"/>
      <c r="F61" s="36">
        <f>180165/1000000</f>
        <v>0.18016499999999999</v>
      </c>
      <c r="G61" s="36">
        <f t="shared" si="0"/>
        <v>3.5492505000000001E-2</v>
      </c>
      <c r="H61" s="36">
        <f>75806/1000000</f>
        <v>7.5805999999999998E-2</v>
      </c>
      <c r="I61" s="37">
        <f t="shared" si="4"/>
        <v>1.13709E-2</v>
      </c>
      <c r="J61" s="32">
        <f t="shared" si="1"/>
        <v>0.16866834999999999</v>
      </c>
      <c r="K61" s="33">
        <f t="shared" si="5"/>
        <v>2.5300252499999999E-2</v>
      </c>
      <c r="L61" s="33"/>
      <c r="O61" s="2">
        <f t="shared" si="7"/>
        <v>3.1585833333333334E-2</v>
      </c>
      <c r="P61" s="2">
        <f t="shared" si="8"/>
        <v>22.741799999999998</v>
      </c>
      <c r="Q61" s="7">
        <f t="shared" si="9"/>
        <v>102.99728260869564</v>
      </c>
      <c r="R61" s="2">
        <v>1.2</v>
      </c>
      <c r="S61" s="2">
        <f t="shared" si="2"/>
        <v>4.45</v>
      </c>
      <c r="T61" s="2"/>
      <c r="U61" s="2"/>
      <c r="Y61" s="8">
        <f t="shared" si="3"/>
        <v>3.6667032608695651</v>
      </c>
    </row>
    <row r="62" spans="1:25" x14ac:dyDescent="0.25">
      <c r="A62" s="34">
        <f t="shared" si="12"/>
        <v>54</v>
      </c>
      <c r="B62" s="35">
        <f t="shared" si="12"/>
        <v>51</v>
      </c>
      <c r="C62" s="40" t="s">
        <v>25</v>
      </c>
      <c r="D62" s="35">
        <v>29</v>
      </c>
      <c r="E62" s="35"/>
      <c r="F62" s="36">
        <f>142258/1000000</f>
        <v>0.142258</v>
      </c>
      <c r="G62" s="36">
        <f t="shared" si="0"/>
        <v>2.8024825999999999E-2</v>
      </c>
      <c r="H62" s="36">
        <f>56674/1000000</f>
        <v>5.6674000000000002E-2</v>
      </c>
      <c r="I62" s="37">
        <f t="shared" si="4"/>
        <v>8.5010999999999993E-3</v>
      </c>
      <c r="J62" s="32">
        <f t="shared" si="1"/>
        <v>0.12609965000000001</v>
      </c>
      <c r="K62" s="33">
        <f t="shared" si="5"/>
        <v>1.8914947500000001E-2</v>
      </c>
      <c r="L62" s="33"/>
      <c r="O62" s="2">
        <f t="shared" si="7"/>
        <v>2.3614166666666669E-2</v>
      </c>
      <c r="P62" s="2">
        <f t="shared" si="8"/>
        <v>17.002200000000002</v>
      </c>
      <c r="Q62" s="7">
        <f t="shared" si="9"/>
        <v>77.002717391304358</v>
      </c>
      <c r="R62" s="2">
        <v>1.2</v>
      </c>
      <c r="S62" s="2">
        <f t="shared" si="2"/>
        <v>4.45</v>
      </c>
      <c r="T62" s="2"/>
      <c r="U62" s="2"/>
      <c r="Y62" s="8">
        <f t="shared" si="3"/>
        <v>2.7412967391304353</v>
      </c>
    </row>
    <row r="63" spans="1:25" x14ac:dyDescent="0.25">
      <c r="A63" s="34">
        <f t="shared" si="12"/>
        <v>55</v>
      </c>
      <c r="B63" s="35">
        <f t="shared" si="12"/>
        <v>52</v>
      </c>
      <c r="C63" s="40" t="s">
        <v>25</v>
      </c>
      <c r="D63" s="35">
        <v>30</v>
      </c>
      <c r="E63" s="35"/>
      <c r="F63" s="36">
        <f>139479/1000000</f>
        <v>0.13947899999999999</v>
      </c>
      <c r="G63" s="36">
        <f t="shared" si="0"/>
        <v>2.7477363000000001E-2</v>
      </c>
      <c r="H63" s="36">
        <f>48670/1000000</f>
        <v>4.8669999999999998E-2</v>
      </c>
      <c r="I63" s="37">
        <f t="shared" si="4"/>
        <v>7.3004999999999997E-3</v>
      </c>
      <c r="J63" s="32">
        <f t="shared" si="1"/>
        <v>0.10829075000000001</v>
      </c>
      <c r="K63" s="33">
        <f t="shared" si="5"/>
        <v>1.6243612500000001E-2</v>
      </c>
      <c r="L63" s="33"/>
      <c r="O63" s="2">
        <f t="shared" si="7"/>
        <v>2.0279166666666668E-2</v>
      </c>
      <c r="P63" s="2">
        <f t="shared" si="8"/>
        <v>14.601000000000001</v>
      </c>
      <c r="Q63" s="7">
        <f t="shared" si="9"/>
        <v>66.127717391304358</v>
      </c>
      <c r="R63" s="2">
        <v>1.2</v>
      </c>
      <c r="S63" s="2">
        <f t="shared" si="2"/>
        <v>4.45</v>
      </c>
      <c r="T63" s="2"/>
      <c r="U63" s="2"/>
      <c r="Y63" s="8">
        <f t="shared" si="3"/>
        <v>2.3541467391304347</v>
      </c>
    </row>
    <row r="64" spans="1:25" x14ac:dyDescent="0.25">
      <c r="A64" s="34">
        <f t="shared" si="12"/>
        <v>56</v>
      </c>
      <c r="B64" s="35">
        <f t="shared" si="12"/>
        <v>53</v>
      </c>
      <c r="C64" s="40" t="s">
        <v>25</v>
      </c>
      <c r="D64" s="35" t="s">
        <v>38</v>
      </c>
      <c r="E64" s="35"/>
      <c r="F64" s="36">
        <f>171952/1000000</f>
        <v>0.17195199999999999</v>
      </c>
      <c r="G64" s="36">
        <f t="shared" si="0"/>
        <v>3.3874543999999999E-2</v>
      </c>
      <c r="H64" s="36">
        <f>48576/1000000</f>
        <v>4.8576000000000001E-2</v>
      </c>
      <c r="I64" s="37">
        <f t="shared" si="4"/>
        <v>7.2864000000000002E-3</v>
      </c>
      <c r="J64" s="32">
        <f t="shared" si="1"/>
        <v>0.1080816</v>
      </c>
      <c r="K64" s="33">
        <f t="shared" si="5"/>
        <v>1.6212239999999999E-2</v>
      </c>
      <c r="L64" s="33"/>
      <c r="O64" s="2">
        <f t="shared" si="7"/>
        <v>2.0240000000000001E-2</v>
      </c>
      <c r="P64" s="2">
        <f t="shared" si="8"/>
        <v>14.572800000000001</v>
      </c>
      <c r="Q64" s="7">
        <f t="shared" si="9"/>
        <v>66</v>
      </c>
      <c r="R64" s="2">
        <v>1.2</v>
      </c>
      <c r="S64" s="2">
        <f t="shared" si="2"/>
        <v>4.45</v>
      </c>
      <c r="T64" s="2"/>
      <c r="U64" s="2"/>
      <c r="Y64" s="8">
        <f t="shared" si="3"/>
        <v>2.3495999999999997</v>
      </c>
    </row>
    <row r="65" spans="1:25" x14ac:dyDescent="0.25">
      <c r="A65" s="34">
        <f t="shared" si="12"/>
        <v>57</v>
      </c>
      <c r="B65" s="35">
        <f t="shared" si="12"/>
        <v>54</v>
      </c>
      <c r="C65" s="40" t="s">
        <v>25</v>
      </c>
      <c r="D65" s="35">
        <v>31</v>
      </c>
      <c r="E65" s="35"/>
      <c r="F65" s="36">
        <f>139479/1000000</f>
        <v>0.13947899999999999</v>
      </c>
      <c r="G65" s="36">
        <f t="shared" si="0"/>
        <v>2.7477363000000001E-2</v>
      </c>
      <c r="H65" s="36">
        <f>68446/1000000</f>
        <v>6.8446000000000007E-2</v>
      </c>
      <c r="I65" s="37">
        <f t="shared" si="4"/>
        <v>1.0266900000000001E-2</v>
      </c>
      <c r="J65" s="32">
        <f t="shared" si="1"/>
        <v>0.15229235000000002</v>
      </c>
      <c r="K65" s="33">
        <f t="shared" si="5"/>
        <v>2.2843852500000001E-2</v>
      </c>
      <c r="L65" s="33"/>
      <c r="O65" s="2">
        <f t="shared" si="7"/>
        <v>2.8519166666666672E-2</v>
      </c>
      <c r="P65" s="2">
        <f t="shared" si="8"/>
        <v>20.533800000000003</v>
      </c>
      <c r="Q65" s="7">
        <f t="shared" si="9"/>
        <v>92.99728260869567</v>
      </c>
      <c r="R65" s="2">
        <v>1.2</v>
      </c>
      <c r="S65" s="2">
        <f t="shared" si="2"/>
        <v>4.45</v>
      </c>
      <c r="T65" s="2"/>
      <c r="U65" s="2"/>
      <c r="Y65" s="8">
        <f t="shared" si="3"/>
        <v>3.3107032608695657</v>
      </c>
    </row>
    <row r="66" spans="1:25" x14ac:dyDescent="0.25">
      <c r="A66" s="34">
        <f t="shared" si="12"/>
        <v>58</v>
      </c>
      <c r="B66" s="35">
        <f t="shared" si="12"/>
        <v>55</v>
      </c>
      <c r="C66" s="40" t="s">
        <v>25</v>
      </c>
      <c r="D66" s="35">
        <v>32</v>
      </c>
      <c r="E66" s="35"/>
      <c r="F66" s="36">
        <f>143307/1000000</f>
        <v>0.14330699999999999</v>
      </c>
      <c r="G66" s="36">
        <f t="shared" si="0"/>
        <v>2.8231479E-2</v>
      </c>
      <c r="H66" s="36">
        <f>69182/1000000</f>
        <v>6.9181999999999994E-2</v>
      </c>
      <c r="I66" s="37">
        <f t="shared" si="4"/>
        <v>1.0377299999999999E-2</v>
      </c>
      <c r="J66" s="32">
        <f t="shared" si="1"/>
        <v>0.15392994999999998</v>
      </c>
      <c r="K66" s="33">
        <f t="shared" si="5"/>
        <v>2.3089492499999996E-2</v>
      </c>
      <c r="L66" s="33"/>
      <c r="O66" s="2">
        <f t="shared" si="7"/>
        <v>2.8825833333333332E-2</v>
      </c>
      <c r="P66" s="2">
        <f t="shared" si="8"/>
        <v>20.7546</v>
      </c>
      <c r="Q66" s="7">
        <f t="shared" si="9"/>
        <v>93.997282608695656</v>
      </c>
      <c r="R66" s="2">
        <v>1.2</v>
      </c>
      <c r="S66" s="2">
        <f t="shared" si="2"/>
        <v>4.45</v>
      </c>
      <c r="T66" s="2"/>
      <c r="U66" s="2"/>
      <c r="Y66" s="8">
        <f t="shared" si="3"/>
        <v>3.3463032608695649</v>
      </c>
    </row>
    <row r="67" spans="1:25" x14ac:dyDescent="0.25">
      <c r="A67" s="34">
        <f t="shared" si="12"/>
        <v>59</v>
      </c>
      <c r="B67" s="35">
        <f t="shared" si="12"/>
        <v>56</v>
      </c>
      <c r="C67" s="40" t="s">
        <v>25</v>
      </c>
      <c r="D67" s="35">
        <v>33</v>
      </c>
      <c r="E67" s="35"/>
      <c r="F67" s="36">
        <f>138981/1000000</f>
        <v>0.13898099999999999</v>
      </c>
      <c r="G67" s="36">
        <f t="shared" si="0"/>
        <v>2.7379257000000001E-2</v>
      </c>
      <c r="H67" s="36">
        <f>58879/1000000</f>
        <v>5.8879000000000001E-2</v>
      </c>
      <c r="I67" s="37">
        <f t="shared" si="4"/>
        <v>8.8318500000000005E-3</v>
      </c>
      <c r="J67" s="32">
        <f t="shared" si="1"/>
        <v>0.13100577500000002</v>
      </c>
      <c r="K67" s="33">
        <f t="shared" si="5"/>
        <v>1.9650866250000003E-2</v>
      </c>
      <c r="L67" s="33"/>
      <c r="O67" s="2">
        <f t="shared" si="7"/>
        <v>2.4532916666666668E-2</v>
      </c>
      <c r="P67" s="2">
        <f t="shared" si="8"/>
        <v>17.663700000000002</v>
      </c>
      <c r="Q67" s="7">
        <f t="shared" si="9"/>
        <v>79.998641304347842</v>
      </c>
      <c r="R67" s="2">
        <v>1.2</v>
      </c>
      <c r="S67" s="2">
        <f t="shared" si="2"/>
        <v>4.45</v>
      </c>
      <c r="T67" s="2"/>
      <c r="U67" s="2"/>
      <c r="Y67" s="8">
        <f t="shared" si="3"/>
        <v>2.8479516304347832</v>
      </c>
    </row>
    <row r="68" spans="1:25" x14ac:dyDescent="0.25">
      <c r="A68" s="34">
        <f t="shared" si="12"/>
        <v>60</v>
      </c>
      <c r="B68" s="35">
        <f t="shared" si="12"/>
        <v>57</v>
      </c>
      <c r="C68" s="40" t="s">
        <v>25</v>
      </c>
      <c r="D68" s="35">
        <v>34</v>
      </c>
      <c r="E68" s="35"/>
      <c r="F68" s="36">
        <f>142697/1000000</f>
        <v>0.14269699999999999</v>
      </c>
      <c r="G68" s="36">
        <f t="shared" si="0"/>
        <v>2.8111309000000001E-2</v>
      </c>
      <c r="H68" s="36">
        <f>64034/1000000</f>
        <v>6.4033999999999994E-2</v>
      </c>
      <c r="I68" s="37">
        <f t="shared" si="4"/>
        <v>9.6050999999999984E-3</v>
      </c>
      <c r="J68" s="32">
        <f t="shared" si="1"/>
        <v>0.14247564999999998</v>
      </c>
      <c r="K68" s="33">
        <f t="shared" si="5"/>
        <v>2.1371347499999995E-2</v>
      </c>
      <c r="L68" s="33"/>
      <c r="O68" s="2">
        <f t="shared" si="7"/>
        <v>2.6680833333333331E-2</v>
      </c>
      <c r="P68" s="2">
        <f t="shared" si="8"/>
        <v>19.210199999999997</v>
      </c>
      <c r="Q68" s="7">
        <f t="shared" si="9"/>
        <v>87.00271739130433</v>
      </c>
      <c r="R68" s="2">
        <v>1.2</v>
      </c>
      <c r="S68" s="2">
        <f t="shared" si="2"/>
        <v>4.45</v>
      </c>
      <c r="T68" s="2"/>
      <c r="U68" s="2"/>
      <c r="Y68" s="8">
        <f t="shared" si="3"/>
        <v>3.0972967391304342</v>
      </c>
    </row>
    <row r="69" spans="1:25" x14ac:dyDescent="0.25">
      <c r="A69" s="34">
        <f t="shared" si="12"/>
        <v>61</v>
      </c>
      <c r="B69" s="35">
        <f t="shared" si="12"/>
        <v>58</v>
      </c>
      <c r="C69" s="40" t="s">
        <v>25</v>
      </c>
      <c r="D69" s="35">
        <v>35</v>
      </c>
      <c r="E69" s="35"/>
      <c r="F69" s="36">
        <f>143631/1000000</f>
        <v>0.14363100000000001</v>
      </c>
      <c r="G69" s="36">
        <f t="shared" si="0"/>
        <v>2.8295307000000002E-2</v>
      </c>
      <c r="H69" s="36">
        <f>55937/1000000</f>
        <v>5.5937000000000001E-2</v>
      </c>
      <c r="I69" s="37">
        <f t="shared" si="4"/>
        <v>8.3905500000000001E-3</v>
      </c>
      <c r="J69" s="32">
        <f t="shared" si="1"/>
        <v>0.12445982500000002</v>
      </c>
      <c r="K69" s="33">
        <f t="shared" si="5"/>
        <v>1.8668973750000002E-2</v>
      </c>
      <c r="L69" s="33"/>
      <c r="O69" s="2">
        <f t="shared" si="7"/>
        <v>2.3307083333333336E-2</v>
      </c>
      <c r="P69" s="2">
        <f t="shared" si="8"/>
        <v>16.781100000000002</v>
      </c>
      <c r="Q69" s="7">
        <f t="shared" si="9"/>
        <v>76.001358695652186</v>
      </c>
      <c r="R69" s="2">
        <v>1.2</v>
      </c>
      <c r="S69" s="2">
        <f t="shared" si="2"/>
        <v>4.45</v>
      </c>
      <c r="T69" s="2"/>
      <c r="U69" s="2"/>
      <c r="Y69" s="8">
        <f t="shared" si="3"/>
        <v>2.705648369565218</v>
      </c>
    </row>
    <row r="70" spans="1:25" x14ac:dyDescent="0.25">
      <c r="A70" s="34">
        <f t="shared" si="12"/>
        <v>62</v>
      </c>
      <c r="B70" s="35">
        <f t="shared" si="12"/>
        <v>59</v>
      </c>
      <c r="C70" s="40" t="s">
        <v>25</v>
      </c>
      <c r="D70" s="35">
        <v>40</v>
      </c>
      <c r="E70" s="35"/>
      <c r="F70" s="36">
        <f>180647/1000000</f>
        <v>0.180647</v>
      </c>
      <c r="G70" s="36">
        <f t="shared" si="0"/>
        <v>3.5587459000000002E-2</v>
      </c>
      <c r="H70" s="36">
        <f>77280/1000000</f>
        <v>7.7280000000000001E-2</v>
      </c>
      <c r="I70" s="37">
        <f t="shared" si="4"/>
        <v>1.1592E-2</v>
      </c>
      <c r="J70" s="32">
        <f t="shared" si="1"/>
        <v>0.17194800000000002</v>
      </c>
      <c r="K70" s="33">
        <f t="shared" si="5"/>
        <v>2.5792200000000001E-2</v>
      </c>
      <c r="L70" s="33"/>
      <c r="O70" s="2">
        <f t="shared" si="7"/>
        <v>3.2199999999999999E-2</v>
      </c>
      <c r="P70" s="2">
        <f t="shared" si="8"/>
        <v>23.183999999999997</v>
      </c>
      <c r="Q70" s="7">
        <f t="shared" si="9"/>
        <v>104.99999999999999</v>
      </c>
      <c r="R70" s="2">
        <v>1.2</v>
      </c>
      <c r="S70" s="2">
        <f t="shared" si="2"/>
        <v>4.45</v>
      </c>
      <c r="T70" s="2"/>
      <c r="U70" s="2"/>
      <c r="Y70" s="8">
        <f t="shared" si="3"/>
        <v>3.7380000000000004</v>
      </c>
    </row>
    <row r="71" spans="1:25" x14ac:dyDescent="0.25">
      <c r="A71" s="34">
        <f t="shared" si="12"/>
        <v>63</v>
      </c>
      <c r="B71" s="35">
        <f t="shared" si="12"/>
        <v>60</v>
      </c>
      <c r="C71" s="40" t="s">
        <v>25</v>
      </c>
      <c r="D71" s="35">
        <v>41</v>
      </c>
      <c r="E71" s="35"/>
      <c r="F71" s="36">
        <f>143764/1000000</f>
        <v>0.143764</v>
      </c>
      <c r="G71" s="36">
        <f t="shared" si="0"/>
        <v>2.8321508000000002E-2</v>
      </c>
      <c r="H71" s="36">
        <f>72128/1000000</f>
        <v>7.2127999999999998E-2</v>
      </c>
      <c r="I71" s="37">
        <f t="shared" si="4"/>
        <v>1.0819199999999999E-2</v>
      </c>
      <c r="J71" s="32">
        <f t="shared" si="1"/>
        <v>0.16048480000000001</v>
      </c>
      <c r="K71" s="33">
        <f t="shared" si="5"/>
        <v>2.4072720000000002E-2</v>
      </c>
      <c r="L71" s="33"/>
      <c r="O71" s="2">
        <f t="shared" si="7"/>
        <v>3.0053333333333335E-2</v>
      </c>
      <c r="P71" s="2">
        <f t="shared" si="8"/>
        <v>21.638400000000001</v>
      </c>
      <c r="Q71" s="7">
        <f t="shared" si="9"/>
        <v>98</v>
      </c>
      <c r="R71" s="2">
        <v>1.2</v>
      </c>
      <c r="S71" s="2">
        <f t="shared" si="2"/>
        <v>4.45</v>
      </c>
      <c r="T71" s="2"/>
      <c r="U71" s="2"/>
      <c r="Y71" s="8">
        <f t="shared" si="3"/>
        <v>3.4888000000000003</v>
      </c>
    </row>
    <row r="72" spans="1:25" x14ac:dyDescent="0.25">
      <c r="A72" s="34">
        <f t="shared" si="12"/>
        <v>64</v>
      </c>
      <c r="B72" s="35">
        <f t="shared" si="12"/>
        <v>61</v>
      </c>
      <c r="C72" s="40" t="s">
        <v>25</v>
      </c>
      <c r="D72" s="35">
        <v>42</v>
      </c>
      <c r="E72" s="35"/>
      <c r="F72" s="36">
        <f>181145/1000000</f>
        <v>0.181145</v>
      </c>
      <c r="G72" s="36">
        <f t="shared" si="0"/>
        <v>3.5685565000000002E-2</v>
      </c>
      <c r="H72" s="36">
        <f>85376/1000000</f>
        <v>8.5375999999999994E-2</v>
      </c>
      <c r="I72" s="37">
        <f t="shared" si="4"/>
        <v>1.2806399999999999E-2</v>
      </c>
      <c r="J72" s="32">
        <f t="shared" si="1"/>
        <v>0.18996159999999998</v>
      </c>
      <c r="K72" s="33">
        <f t="shared" si="5"/>
        <v>2.8494239999999997E-2</v>
      </c>
      <c r="L72" s="33"/>
      <c r="O72" s="2">
        <f t="shared" si="7"/>
        <v>3.5573333333333332E-2</v>
      </c>
      <c r="P72" s="2">
        <f t="shared" si="8"/>
        <v>25.6128</v>
      </c>
      <c r="Q72" s="7">
        <f t="shared" si="9"/>
        <v>116</v>
      </c>
      <c r="R72" s="2">
        <v>1.2</v>
      </c>
      <c r="S72" s="2">
        <f t="shared" si="2"/>
        <v>4.45</v>
      </c>
      <c r="T72" s="2"/>
      <c r="U72" s="2"/>
      <c r="Y72" s="8">
        <f t="shared" si="3"/>
        <v>4.1295999999999999</v>
      </c>
    </row>
    <row r="73" spans="1:25" x14ac:dyDescent="0.25">
      <c r="A73" s="34">
        <f t="shared" si="12"/>
        <v>65</v>
      </c>
      <c r="B73" s="35">
        <f t="shared" si="12"/>
        <v>62</v>
      </c>
      <c r="C73" s="40" t="s">
        <v>25</v>
      </c>
      <c r="D73" s="35">
        <v>43</v>
      </c>
      <c r="E73" s="35"/>
      <c r="F73" s="36">
        <f>129447/1000000</f>
        <v>0.12944700000000001</v>
      </c>
      <c r="G73" s="36">
        <f t="shared" si="0"/>
        <v>2.5501059000000003E-2</v>
      </c>
      <c r="H73" s="36">
        <f>50784/1000000</f>
        <v>5.0784000000000003E-2</v>
      </c>
      <c r="I73" s="37">
        <f t="shared" si="4"/>
        <v>7.6176000000000004E-3</v>
      </c>
      <c r="J73" s="32">
        <f t="shared" ref="J73:J136" si="13">O73*R73*S73</f>
        <v>0.11299440000000001</v>
      </c>
      <c r="K73" s="33">
        <f t="shared" si="5"/>
        <v>1.6949160000000001E-2</v>
      </c>
      <c r="L73" s="33"/>
      <c r="O73" s="2">
        <f t="shared" si="7"/>
        <v>2.1160000000000002E-2</v>
      </c>
      <c r="P73" s="2">
        <f t="shared" si="8"/>
        <v>15.235200000000003</v>
      </c>
      <c r="Q73" s="7">
        <f t="shared" si="9"/>
        <v>69.000000000000014</v>
      </c>
      <c r="R73" s="2">
        <v>1.2</v>
      </c>
      <c r="S73" s="2">
        <f t="shared" ref="S73:S136" si="14">IF(Q73&lt;=$AE$6,$AF$6,IF(Q73&lt;=$AE$7,$AF$7,IF(Q73&lt;=$AE$8,$AF$8,IF(Q73&lt;=$AE$9,$AF$9,IF(Q73&lt;=$AE$10,$AF$10,0)))))</f>
        <v>4.45</v>
      </c>
      <c r="T73" s="2"/>
      <c r="U73" s="2"/>
      <c r="Y73" s="8">
        <f t="shared" ref="Y73:Y136" si="15">J73/46*1000</f>
        <v>2.4563999999999999</v>
      </c>
    </row>
    <row r="74" spans="1:25" x14ac:dyDescent="0.25">
      <c r="A74" s="34">
        <f t="shared" si="12"/>
        <v>66</v>
      </c>
      <c r="B74" s="35">
        <f t="shared" si="12"/>
        <v>63</v>
      </c>
      <c r="C74" s="40" t="s">
        <v>25</v>
      </c>
      <c r="D74" s="35">
        <v>44</v>
      </c>
      <c r="E74" s="35"/>
      <c r="F74" s="36">
        <f>139122/1000000</f>
        <v>0.139122</v>
      </c>
      <c r="G74" s="36">
        <f t="shared" si="0"/>
        <v>2.7407034E-2</v>
      </c>
      <c r="H74" s="36">
        <f>58142/1000000</f>
        <v>5.8141999999999999E-2</v>
      </c>
      <c r="I74" s="37">
        <f t="shared" si="4"/>
        <v>8.7212999999999995E-3</v>
      </c>
      <c r="J74" s="32">
        <f t="shared" si="13"/>
        <v>0.12936595000000001</v>
      </c>
      <c r="K74" s="33">
        <f t="shared" ref="K74:K137" si="16">J74*0.15</f>
        <v>1.94048925E-2</v>
      </c>
      <c r="L74" s="33"/>
      <c r="O74" s="2">
        <f t="shared" si="7"/>
        <v>2.4225833333333335E-2</v>
      </c>
      <c r="P74" s="2">
        <f t="shared" si="8"/>
        <v>17.442600000000002</v>
      </c>
      <c r="Q74" s="7">
        <f t="shared" si="9"/>
        <v>78.99728260869567</v>
      </c>
      <c r="R74" s="2">
        <v>1.2</v>
      </c>
      <c r="S74" s="2">
        <f t="shared" si="14"/>
        <v>4.45</v>
      </c>
      <c r="T74" s="2"/>
      <c r="U74" s="2"/>
      <c r="Y74" s="8">
        <f t="shared" si="15"/>
        <v>2.8123032608695655</v>
      </c>
    </row>
    <row r="75" spans="1:25" x14ac:dyDescent="0.25">
      <c r="A75" s="34">
        <f t="shared" ref="A75:B90" si="17">A74+1</f>
        <v>67</v>
      </c>
      <c r="B75" s="35">
        <f t="shared" si="17"/>
        <v>64</v>
      </c>
      <c r="C75" s="40" t="s">
        <v>25</v>
      </c>
      <c r="D75" s="35">
        <v>45</v>
      </c>
      <c r="E75" s="35"/>
      <c r="F75" s="36">
        <f>189184/1000000</f>
        <v>0.18918399999999999</v>
      </c>
      <c r="G75" s="36">
        <f t="shared" si="0"/>
        <v>3.7269247999999998E-2</v>
      </c>
      <c r="H75" s="36">
        <f>103040/1000000</f>
        <v>0.10304000000000001</v>
      </c>
      <c r="I75" s="37">
        <f t="shared" si="4"/>
        <v>1.5456000000000001E-2</v>
      </c>
      <c r="J75" s="32">
        <f t="shared" si="13"/>
        <v>0.22926400000000002</v>
      </c>
      <c r="K75" s="33">
        <f t="shared" si="16"/>
        <v>3.4389599999999999E-2</v>
      </c>
      <c r="L75" s="33"/>
      <c r="O75" s="2">
        <f t="shared" ref="O75:O138" si="18">H75/2.4</f>
        <v>4.2933333333333337E-2</v>
      </c>
      <c r="P75" s="2">
        <f t="shared" ref="P75:P138" si="19">O75*24*30</f>
        <v>30.912000000000006</v>
      </c>
      <c r="Q75" s="7">
        <f t="shared" ref="Q75:Q138" si="20">P75/0.2208</f>
        <v>140.00000000000003</v>
      </c>
      <c r="R75" s="2">
        <v>1.2</v>
      </c>
      <c r="S75" s="2">
        <f t="shared" si="14"/>
        <v>4.45</v>
      </c>
      <c r="T75" s="2"/>
      <c r="U75" s="2"/>
      <c r="Y75" s="8">
        <f t="shared" si="15"/>
        <v>4.9840000000000009</v>
      </c>
    </row>
    <row r="76" spans="1:25" x14ac:dyDescent="0.25">
      <c r="A76" s="34">
        <f t="shared" si="17"/>
        <v>68</v>
      </c>
      <c r="B76" s="35">
        <f t="shared" si="17"/>
        <v>65</v>
      </c>
      <c r="C76" s="40" t="s">
        <v>25</v>
      </c>
      <c r="D76" s="35">
        <v>46</v>
      </c>
      <c r="E76" s="35"/>
      <c r="F76" s="36">
        <f>142735/1000000</f>
        <v>0.142735</v>
      </c>
      <c r="G76" s="36">
        <f t="shared" ref="G76:G106" si="21">F76*0.197</f>
        <v>2.8118795000000002E-2</v>
      </c>
      <c r="H76" s="36">
        <f>65504/1000000</f>
        <v>6.5504000000000007E-2</v>
      </c>
      <c r="I76" s="37">
        <f t="shared" ref="I76:I106" si="22">H76*0.15</f>
        <v>9.8256000000000003E-3</v>
      </c>
      <c r="J76" s="32">
        <f t="shared" si="13"/>
        <v>0.14574640000000003</v>
      </c>
      <c r="K76" s="33">
        <f t="shared" si="16"/>
        <v>2.1861960000000003E-2</v>
      </c>
      <c r="L76" s="33"/>
      <c r="O76" s="2">
        <f t="shared" si="18"/>
        <v>2.7293333333333336E-2</v>
      </c>
      <c r="P76" s="2">
        <f t="shared" si="19"/>
        <v>19.651200000000003</v>
      </c>
      <c r="Q76" s="7">
        <f t="shared" si="20"/>
        <v>89.000000000000014</v>
      </c>
      <c r="R76" s="2">
        <v>1.2</v>
      </c>
      <c r="S76" s="2">
        <f t="shared" si="14"/>
        <v>4.45</v>
      </c>
      <c r="T76" s="2"/>
      <c r="U76" s="2"/>
      <c r="Y76" s="8">
        <f t="shared" si="15"/>
        <v>3.1684000000000005</v>
      </c>
    </row>
    <row r="77" spans="1:25" x14ac:dyDescent="0.25">
      <c r="A77" s="34">
        <f t="shared" si="17"/>
        <v>69</v>
      </c>
      <c r="B77" s="35">
        <f t="shared" si="17"/>
        <v>66</v>
      </c>
      <c r="C77" s="40" t="s">
        <v>25</v>
      </c>
      <c r="D77" s="35">
        <v>47</v>
      </c>
      <c r="E77" s="35"/>
      <c r="F77" s="36">
        <f>142830/1000000</f>
        <v>0.14283000000000001</v>
      </c>
      <c r="G77" s="36">
        <f t="shared" si="21"/>
        <v>2.8137510000000004E-2</v>
      </c>
      <c r="H77" s="36">
        <f>53728/1000000</f>
        <v>5.3727999999999998E-2</v>
      </c>
      <c r="I77" s="37">
        <f t="shared" si="22"/>
        <v>8.059199999999999E-3</v>
      </c>
      <c r="J77" s="32">
        <f t="shared" si="13"/>
        <v>0.11954480000000001</v>
      </c>
      <c r="K77" s="33">
        <f t="shared" si="16"/>
        <v>1.7931720000000002E-2</v>
      </c>
      <c r="L77" s="33"/>
      <c r="O77" s="2">
        <f t="shared" si="18"/>
        <v>2.2386666666666666E-2</v>
      </c>
      <c r="P77" s="2">
        <f t="shared" si="19"/>
        <v>16.118400000000001</v>
      </c>
      <c r="Q77" s="7">
        <f t="shared" si="20"/>
        <v>73</v>
      </c>
      <c r="R77" s="2">
        <v>1.2</v>
      </c>
      <c r="S77" s="2">
        <f t="shared" si="14"/>
        <v>4.45</v>
      </c>
      <c r="T77" s="2"/>
      <c r="U77" s="2"/>
      <c r="Y77" s="8">
        <f t="shared" si="15"/>
        <v>2.5988000000000002</v>
      </c>
    </row>
    <row r="78" spans="1:25" x14ac:dyDescent="0.25">
      <c r="A78" s="34">
        <f t="shared" si="17"/>
        <v>70</v>
      </c>
      <c r="B78" s="35">
        <f t="shared" si="17"/>
        <v>67</v>
      </c>
      <c r="C78" s="40" t="s">
        <v>25</v>
      </c>
      <c r="D78" s="35">
        <v>48</v>
      </c>
      <c r="E78" s="35"/>
      <c r="F78" s="36">
        <f>160082/1000000</f>
        <v>0.160082</v>
      </c>
      <c r="G78" s="36">
        <f t="shared" si="21"/>
        <v>3.1536154000000004E-2</v>
      </c>
      <c r="H78" s="36">
        <f>61088/1000000</f>
        <v>6.1088000000000003E-2</v>
      </c>
      <c r="I78" s="37">
        <f t="shared" si="22"/>
        <v>9.1631999999999998E-3</v>
      </c>
      <c r="J78" s="32">
        <f t="shared" si="13"/>
        <v>0.13592080000000001</v>
      </c>
      <c r="K78" s="33">
        <f t="shared" si="16"/>
        <v>2.0388119999999999E-2</v>
      </c>
      <c r="L78" s="33"/>
      <c r="O78" s="2">
        <f t="shared" si="18"/>
        <v>2.5453333333333335E-2</v>
      </c>
      <c r="P78" s="2">
        <f t="shared" si="19"/>
        <v>18.326400000000003</v>
      </c>
      <c r="Q78" s="7">
        <f t="shared" si="20"/>
        <v>83.000000000000014</v>
      </c>
      <c r="R78" s="2">
        <v>1.2</v>
      </c>
      <c r="S78" s="2">
        <f t="shared" si="14"/>
        <v>4.45</v>
      </c>
      <c r="T78" s="2"/>
      <c r="U78" s="2"/>
      <c r="Y78" s="8">
        <f t="shared" si="15"/>
        <v>2.9548000000000001</v>
      </c>
    </row>
    <row r="79" spans="1:25" x14ac:dyDescent="0.25">
      <c r="A79" s="34">
        <f t="shared" si="17"/>
        <v>71</v>
      </c>
      <c r="B79" s="35">
        <f t="shared" si="17"/>
        <v>68</v>
      </c>
      <c r="C79" s="40" t="s">
        <v>25</v>
      </c>
      <c r="D79" s="35">
        <v>49</v>
      </c>
      <c r="E79" s="35"/>
      <c r="F79" s="36">
        <f>157213/1000000</f>
        <v>0.15721299999999999</v>
      </c>
      <c r="G79" s="36">
        <f t="shared" si="21"/>
        <v>3.0970960999999998E-2</v>
      </c>
      <c r="H79" s="36">
        <f>81730/1000000</f>
        <v>8.1729999999999997E-2</v>
      </c>
      <c r="I79" s="37">
        <f t="shared" si="22"/>
        <v>1.22595E-2</v>
      </c>
      <c r="J79" s="32">
        <f t="shared" si="13"/>
        <v>0.18184925000000002</v>
      </c>
      <c r="K79" s="33">
        <f t="shared" si="16"/>
        <v>2.7277387500000003E-2</v>
      </c>
      <c r="L79" s="33"/>
      <c r="O79" s="2">
        <f t="shared" si="18"/>
        <v>3.405416666666667E-2</v>
      </c>
      <c r="P79" s="2">
        <f t="shared" si="19"/>
        <v>24.519000000000005</v>
      </c>
      <c r="Q79" s="7">
        <f t="shared" si="20"/>
        <v>111.04619565217394</v>
      </c>
      <c r="R79" s="2">
        <v>1.2</v>
      </c>
      <c r="S79" s="2">
        <f t="shared" si="14"/>
        <v>4.45</v>
      </c>
      <c r="T79" s="2"/>
      <c r="U79" s="2"/>
      <c r="Y79" s="8">
        <f t="shared" si="15"/>
        <v>3.9532445652173918</v>
      </c>
    </row>
    <row r="80" spans="1:25" x14ac:dyDescent="0.25">
      <c r="A80" s="34">
        <f t="shared" si="17"/>
        <v>72</v>
      </c>
      <c r="B80" s="35">
        <f t="shared" si="17"/>
        <v>69</v>
      </c>
      <c r="C80" s="40" t="s">
        <v>25</v>
      </c>
      <c r="D80" s="35">
        <v>50</v>
      </c>
      <c r="E80" s="35"/>
      <c r="F80" s="36">
        <f>171952/1000000</f>
        <v>0.17195199999999999</v>
      </c>
      <c r="G80" s="36">
        <f t="shared" si="21"/>
        <v>3.3874543999999999E-2</v>
      </c>
      <c r="H80" s="36">
        <f>46366/1000000</f>
        <v>4.6365999999999997E-2</v>
      </c>
      <c r="I80" s="37">
        <f t="shared" si="22"/>
        <v>6.9548999999999991E-3</v>
      </c>
      <c r="J80" s="32">
        <f t="shared" si="13"/>
        <v>0.10316435</v>
      </c>
      <c r="K80" s="33">
        <f t="shared" si="16"/>
        <v>1.54746525E-2</v>
      </c>
      <c r="L80" s="33"/>
      <c r="O80" s="2">
        <f t="shared" si="18"/>
        <v>1.9319166666666665E-2</v>
      </c>
      <c r="P80" s="2">
        <f t="shared" si="19"/>
        <v>13.909799999999999</v>
      </c>
      <c r="Q80" s="7">
        <f t="shared" si="20"/>
        <v>62.997282608695649</v>
      </c>
      <c r="R80" s="2">
        <v>1.2</v>
      </c>
      <c r="S80" s="2">
        <f t="shared" si="14"/>
        <v>4.45</v>
      </c>
      <c r="T80" s="2"/>
      <c r="U80" s="2"/>
      <c r="Y80" s="8">
        <f t="shared" si="15"/>
        <v>2.2427032608695652</v>
      </c>
    </row>
    <row r="81" spans="1:25" x14ac:dyDescent="0.25">
      <c r="A81" s="34">
        <f t="shared" si="17"/>
        <v>73</v>
      </c>
      <c r="B81" s="35">
        <f t="shared" si="17"/>
        <v>70</v>
      </c>
      <c r="C81" s="42" t="s">
        <v>39</v>
      </c>
      <c r="D81" s="43">
        <v>1</v>
      </c>
      <c r="E81" s="43"/>
      <c r="F81" s="36">
        <f>124608/1000000</f>
        <v>0.124608</v>
      </c>
      <c r="G81" s="36">
        <f t="shared" si="21"/>
        <v>2.4547776E-2</v>
      </c>
      <c r="H81" s="36">
        <f>48576/1000000</f>
        <v>4.8576000000000001E-2</v>
      </c>
      <c r="I81" s="37">
        <f t="shared" si="22"/>
        <v>7.2864000000000002E-3</v>
      </c>
      <c r="J81" s="32">
        <f t="shared" si="13"/>
        <v>0.1080816</v>
      </c>
      <c r="K81" s="33">
        <f t="shared" si="16"/>
        <v>1.6212239999999999E-2</v>
      </c>
      <c r="L81" s="33"/>
      <c r="O81" s="2">
        <f t="shared" si="18"/>
        <v>2.0240000000000001E-2</v>
      </c>
      <c r="P81" s="2">
        <f t="shared" si="19"/>
        <v>14.572800000000001</v>
      </c>
      <c r="Q81" s="7">
        <f t="shared" si="20"/>
        <v>66</v>
      </c>
      <c r="R81" s="2">
        <v>1.2</v>
      </c>
      <c r="S81" s="2">
        <f t="shared" si="14"/>
        <v>4.45</v>
      </c>
      <c r="T81" s="2"/>
      <c r="U81" s="2"/>
      <c r="Y81" s="8">
        <f t="shared" si="15"/>
        <v>2.3495999999999997</v>
      </c>
    </row>
    <row r="82" spans="1:25" x14ac:dyDescent="0.25">
      <c r="A82" s="34">
        <f t="shared" si="17"/>
        <v>74</v>
      </c>
      <c r="B82" s="35">
        <f t="shared" si="17"/>
        <v>71</v>
      </c>
      <c r="C82" s="42" t="s">
        <v>39</v>
      </c>
      <c r="D82" s="44" t="s">
        <v>40</v>
      </c>
      <c r="E82" s="43"/>
      <c r="F82" s="36">
        <f>128143/1000000</f>
        <v>0.12814300000000001</v>
      </c>
      <c r="G82" s="36">
        <f t="shared" si="21"/>
        <v>2.5244171000000003E-2</v>
      </c>
      <c r="H82" s="36">
        <f>40480/1000000</f>
        <v>4.0480000000000002E-2</v>
      </c>
      <c r="I82" s="37">
        <f t="shared" si="22"/>
        <v>6.0720000000000001E-3</v>
      </c>
      <c r="J82" s="32">
        <f t="shared" si="13"/>
        <v>9.0068000000000009E-2</v>
      </c>
      <c r="K82" s="33">
        <f t="shared" si="16"/>
        <v>1.3510200000000002E-2</v>
      </c>
      <c r="L82" s="33"/>
      <c r="O82" s="2">
        <f t="shared" si="18"/>
        <v>1.6866666666666669E-2</v>
      </c>
      <c r="P82" s="2">
        <f t="shared" si="19"/>
        <v>12.144000000000002</v>
      </c>
      <c r="Q82" s="7">
        <f t="shared" si="20"/>
        <v>55.000000000000007</v>
      </c>
      <c r="R82" s="2">
        <v>1.2</v>
      </c>
      <c r="S82" s="2">
        <f t="shared" si="14"/>
        <v>4.45</v>
      </c>
      <c r="T82" s="2"/>
      <c r="U82" s="2"/>
      <c r="Y82" s="8">
        <f t="shared" si="15"/>
        <v>1.9580000000000002</v>
      </c>
    </row>
    <row r="83" spans="1:25" x14ac:dyDescent="0.25">
      <c r="A83" s="34">
        <f t="shared" si="17"/>
        <v>75</v>
      </c>
      <c r="B83" s="35">
        <f t="shared" si="17"/>
        <v>72</v>
      </c>
      <c r="C83" s="42" t="s">
        <v>39</v>
      </c>
      <c r="D83" s="44" t="s">
        <v>41</v>
      </c>
      <c r="E83" s="43">
        <v>1</v>
      </c>
      <c r="F83" s="36">
        <f>135578.4/1000000</f>
        <v>0.13557839999999999</v>
      </c>
      <c r="G83" s="36">
        <f t="shared" si="21"/>
        <v>2.6708944799999999E-2</v>
      </c>
      <c r="H83" s="36">
        <f>81328/1000000</f>
        <v>8.1327999999999998E-2</v>
      </c>
      <c r="I83" s="37">
        <f t="shared" si="22"/>
        <v>1.2199199999999999E-2</v>
      </c>
      <c r="J83" s="32">
        <f t="shared" si="13"/>
        <v>0.1809548</v>
      </c>
      <c r="K83" s="33">
        <f t="shared" si="16"/>
        <v>2.7143219999999999E-2</v>
      </c>
      <c r="L83" s="33"/>
      <c r="O83" s="2">
        <f t="shared" si="18"/>
        <v>3.3886666666666669E-2</v>
      </c>
      <c r="P83" s="2">
        <f t="shared" si="19"/>
        <v>24.398399999999999</v>
      </c>
      <c r="Q83" s="7">
        <f t="shared" si="20"/>
        <v>110.5</v>
      </c>
      <c r="R83" s="2">
        <v>1.2</v>
      </c>
      <c r="S83" s="2">
        <f t="shared" si="14"/>
        <v>4.45</v>
      </c>
      <c r="T83" s="2"/>
      <c r="U83" s="2"/>
      <c r="Y83" s="8">
        <f t="shared" si="15"/>
        <v>3.9338000000000002</v>
      </c>
    </row>
    <row r="84" spans="1:25" x14ac:dyDescent="0.25">
      <c r="A84" s="34">
        <f t="shared" si="17"/>
        <v>76</v>
      </c>
      <c r="B84" s="35">
        <f t="shared" si="17"/>
        <v>73</v>
      </c>
      <c r="C84" s="42" t="s">
        <v>39</v>
      </c>
      <c r="D84" s="41" t="s">
        <v>41</v>
      </c>
      <c r="E84" s="35">
        <v>2</v>
      </c>
      <c r="F84" s="36">
        <f>135578.4/1000000</f>
        <v>0.13557839999999999</v>
      </c>
      <c r="G84" s="36">
        <f t="shared" si="21"/>
        <v>2.6708944799999999E-2</v>
      </c>
      <c r="H84" s="36">
        <f>81328/1000000</f>
        <v>8.1327999999999998E-2</v>
      </c>
      <c r="I84" s="37">
        <f t="shared" si="22"/>
        <v>1.2199199999999999E-2</v>
      </c>
      <c r="J84" s="32">
        <f t="shared" si="13"/>
        <v>0.1809548</v>
      </c>
      <c r="K84" s="33">
        <f t="shared" si="16"/>
        <v>2.7143219999999999E-2</v>
      </c>
      <c r="L84" s="33"/>
      <c r="O84" s="2">
        <f t="shared" si="18"/>
        <v>3.3886666666666669E-2</v>
      </c>
      <c r="P84" s="2">
        <f t="shared" si="19"/>
        <v>24.398399999999999</v>
      </c>
      <c r="Q84" s="7">
        <f t="shared" si="20"/>
        <v>110.5</v>
      </c>
      <c r="R84" s="2">
        <v>1.2</v>
      </c>
      <c r="S84" s="2">
        <f t="shared" si="14"/>
        <v>4.45</v>
      </c>
      <c r="T84" s="2"/>
      <c r="U84" s="2"/>
      <c r="Y84" s="8">
        <f t="shared" si="15"/>
        <v>3.9338000000000002</v>
      </c>
    </row>
    <row r="85" spans="1:25" x14ac:dyDescent="0.25">
      <c r="A85" s="34">
        <f t="shared" si="17"/>
        <v>77</v>
      </c>
      <c r="B85" s="35">
        <f t="shared" si="17"/>
        <v>74</v>
      </c>
      <c r="C85" s="42" t="s">
        <v>39</v>
      </c>
      <c r="D85" s="44" t="s">
        <v>42</v>
      </c>
      <c r="E85" s="43"/>
      <c r="F85" s="36">
        <f>128143/1000000</f>
        <v>0.12814300000000001</v>
      </c>
      <c r="G85" s="36">
        <f t="shared" si="21"/>
        <v>2.5244171000000003E-2</v>
      </c>
      <c r="H85" s="36">
        <f>37440/1000000</f>
        <v>3.7440000000000001E-2</v>
      </c>
      <c r="I85" s="37">
        <f t="shared" si="22"/>
        <v>5.6160000000000003E-3</v>
      </c>
      <c r="J85" s="32">
        <f t="shared" si="13"/>
        <v>8.3304000000000003E-2</v>
      </c>
      <c r="K85" s="33">
        <f t="shared" si="16"/>
        <v>1.2495600000000001E-2</v>
      </c>
      <c r="L85" s="33"/>
      <c r="O85" s="2">
        <f t="shared" si="18"/>
        <v>1.5600000000000001E-2</v>
      </c>
      <c r="P85" s="2">
        <f t="shared" si="19"/>
        <v>11.232000000000001</v>
      </c>
      <c r="Q85" s="7">
        <f t="shared" si="20"/>
        <v>50.869565217391312</v>
      </c>
      <c r="R85" s="2">
        <v>1.2</v>
      </c>
      <c r="S85" s="2">
        <f t="shared" si="14"/>
        <v>4.45</v>
      </c>
      <c r="T85" s="2"/>
      <c r="U85" s="2"/>
      <c r="Y85" s="8">
        <f t="shared" si="15"/>
        <v>1.8109565217391306</v>
      </c>
    </row>
    <row r="86" spans="1:25" x14ac:dyDescent="0.25">
      <c r="A86" s="34">
        <f t="shared" si="17"/>
        <v>78</v>
      </c>
      <c r="B86" s="35">
        <f t="shared" si="17"/>
        <v>75</v>
      </c>
      <c r="C86" s="42" t="s">
        <v>39</v>
      </c>
      <c r="D86" s="44" t="s">
        <v>43</v>
      </c>
      <c r="E86" s="43">
        <v>1</v>
      </c>
      <c r="F86" s="36">
        <f>135578.5/1000000</f>
        <v>0.13557849999999999</v>
      </c>
      <c r="G86" s="36">
        <f t="shared" si="21"/>
        <v>2.6708964499999998E-2</v>
      </c>
      <c r="H86" s="36">
        <f>80224/1000000</f>
        <v>8.0224000000000004E-2</v>
      </c>
      <c r="I86" s="37">
        <f t="shared" si="22"/>
        <v>1.20336E-2</v>
      </c>
      <c r="J86" s="32">
        <f t="shared" si="13"/>
        <v>0.1784984</v>
      </c>
      <c r="K86" s="33">
        <f t="shared" si="16"/>
        <v>2.6774759999999998E-2</v>
      </c>
      <c r="L86" s="33"/>
      <c r="O86" s="2">
        <f t="shared" si="18"/>
        <v>3.3426666666666667E-2</v>
      </c>
      <c r="P86" s="2">
        <f t="shared" si="19"/>
        <v>24.067200000000003</v>
      </c>
      <c r="Q86" s="7">
        <f t="shared" si="20"/>
        <v>109.00000000000001</v>
      </c>
      <c r="R86" s="2">
        <v>1.2</v>
      </c>
      <c r="S86" s="2">
        <f t="shared" si="14"/>
        <v>4.45</v>
      </c>
      <c r="T86" s="2"/>
      <c r="U86" s="2"/>
      <c r="Y86" s="8">
        <f t="shared" si="15"/>
        <v>3.8803999999999998</v>
      </c>
    </row>
    <row r="87" spans="1:25" x14ac:dyDescent="0.25">
      <c r="A87" s="34">
        <f t="shared" si="17"/>
        <v>79</v>
      </c>
      <c r="B87" s="35">
        <f t="shared" si="17"/>
        <v>76</v>
      </c>
      <c r="C87" s="42" t="s">
        <v>39</v>
      </c>
      <c r="D87" s="41" t="s">
        <v>43</v>
      </c>
      <c r="E87" s="35">
        <v>2</v>
      </c>
      <c r="F87" s="36">
        <f>135578.5/1000000</f>
        <v>0.13557849999999999</v>
      </c>
      <c r="G87" s="36">
        <f t="shared" si="21"/>
        <v>2.6708964499999998E-2</v>
      </c>
      <c r="H87" s="36">
        <f>80224/1000000</f>
        <v>8.0224000000000004E-2</v>
      </c>
      <c r="I87" s="37">
        <f t="shared" si="22"/>
        <v>1.20336E-2</v>
      </c>
      <c r="J87" s="32">
        <f t="shared" si="13"/>
        <v>0.1784984</v>
      </c>
      <c r="K87" s="33">
        <f t="shared" si="16"/>
        <v>2.6774759999999998E-2</v>
      </c>
      <c r="L87" s="33"/>
      <c r="O87" s="2">
        <f t="shared" si="18"/>
        <v>3.3426666666666667E-2</v>
      </c>
      <c r="P87" s="2">
        <f t="shared" si="19"/>
        <v>24.067200000000003</v>
      </c>
      <c r="Q87" s="7">
        <f t="shared" si="20"/>
        <v>109.00000000000001</v>
      </c>
      <c r="R87" s="2">
        <v>1.2</v>
      </c>
      <c r="S87" s="2">
        <f t="shared" si="14"/>
        <v>4.45</v>
      </c>
      <c r="T87" s="2"/>
      <c r="U87" s="2"/>
      <c r="Y87" s="8">
        <f t="shared" si="15"/>
        <v>3.8803999999999998</v>
      </c>
    </row>
    <row r="88" spans="1:25" x14ac:dyDescent="0.25">
      <c r="A88" s="34">
        <f t="shared" si="17"/>
        <v>80</v>
      </c>
      <c r="B88" s="35">
        <f t="shared" si="17"/>
        <v>77</v>
      </c>
      <c r="C88" s="42" t="s">
        <v>39</v>
      </c>
      <c r="D88" s="44" t="s">
        <v>44</v>
      </c>
      <c r="E88" s="43"/>
      <c r="F88" s="36">
        <f>128143/1000000</f>
        <v>0.12814300000000001</v>
      </c>
      <c r="G88" s="36">
        <f t="shared" si="21"/>
        <v>2.5244171000000003E-2</v>
      </c>
      <c r="H88" s="36">
        <f>37550/1000000</f>
        <v>3.755E-2</v>
      </c>
      <c r="I88" s="37">
        <f t="shared" si="22"/>
        <v>5.6324999999999995E-3</v>
      </c>
      <c r="J88" s="32">
        <f t="shared" si="13"/>
        <v>8.3548750000000005E-2</v>
      </c>
      <c r="K88" s="33">
        <f t="shared" si="16"/>
        <v>1.25323125E-2</v>
      </c>
      <c r="L88" s="33"/>
      <c r="O88" s="2">
        <f t="shared" si="18"/>
        <v>1.5645833333333335E-2</v>
      </c>
      <c r="P88" s="2">
        <f t="shared" si="19"/>
        <v>11.265000000000002</v>
      </c>
      <c r="Q88" s="7">
        <f t="shared" si="20"/>
        <v>51.019021739130444</v>
      </c>
      <c r="R88" s="2">
        <v>1.2</v>
      </c>
      <c r="S88" s="2">
        <f t="shared" si="14"/>
        <v>4.45</v>
      </c>
      <c r="T88" s="2"/>
      <c r="U88" s="2"/>
      <c r="Y88" s="8">
        <f t="shared" si="15"/>
        <v>1.8162771739130434</v>
      </c>
    </row>
    <row r="89" spans="1:25" x14ac:dyDescent="0.25">
      <c r="A89" s="34">
        <f t="shared" si="17"/>
        <v>81</v>
      </c>
      <c r="B89" s="35"/>
      <c r="C89" s="42" t="s">
        <v>39</v>
      </c>
      <c r="D89" s="35">
        <v>4</v>
      </c>
      <c r="E89" s="35">
        <v>1</v>
      </c>
      <c r="F89" s="36">
        <f>273162/1000000/2</f>
        <v>0.13658100000000001</v>
      </c>
      <c r="G89" s="36">
        <f t="shared" si="21"/>
        <v>2.6906457000000002E-2</v>
      </c>
      <c r="H89" s="36">
        <f>157504/1000000</f>
        <v>0.15750400000000001</v>
      </c>
      <c r="I89" s="37">
        <f t="shared" si="22"/>
        <v>2.36256E-2</v>
      </c>
      <c r="J89" s="32">
        <f t="shared" si="13"/>
        <v>0.29138240000000004</v>
      </c>
      <c r="K89" s="33">
        <f t="shared" si="16"/>
        <v>4.3707360000000008E-2</v>
      </c>
      <c r="L89" s="33"/>
      <c r="O89" s="2">
        <f t="shared" si="18"/>
        <v>6.5626666666666666E-2</v>
      </c>
      <c r="P89" s="2">
        <f t="shared" si="19"/>
        <v>47.251199999999997</v>
      </c>
      <c r="Q89" s="7">
        <f t="shared" si="20"/>
        <v>214</v>
      </c>
      <c r="R89" s="2">
        <v>1.2</v>
      </c>
      <c r="S89" s="2">
        <f t="shared" si="14"/>
        <v>3.7</v>
      </c>
      <c r="T89" s="2"/>
      <c r="U89" s="2"/>
      <c r="Y89" s="8">
        <f t="shared" si="15"/>
        <v>6.3344000000000014</v>
      </c>
    </row>
    <row r="90" spans="1:25" x14ac:dyDescent="0.25">
      <c r="A90" s="34">
        <f t="shared" si="17"/>
        <v>82</v>
      </c>
      <c r="B90" s="35"/>
      <c r="C90" s="42" t="s">
        <v>39</v>
      </c>
      <c r="D90" s="35">
        <v>4</v>
      </c>
      <c r="E90" s="35">
        <v>2</v>
      </c>
      <c r="F90" s="36">
        <f>273162/1000000/2</f>
        <v>0.13658100000000001</v>
      </c>
      <c r="G90" s="36">
        <f t="shared" si="21"/>
        <v>2.6906457000000002E-2</v>
      </c>
      <c r="H90" s="36">
        <v>0</v>
      </c>
      <c r="I90" s="37">
        <f t="shared" si="22"/>
        <v>0</v>
      </c>
      <c r="J90" s="32">
        <f t="shared" si="13"/>
        <v>0</v>
      </c>
      <c r="K90" s="33">
        <f t="shared" si="16"/>
        <v>0</v>
      </c>
      <c r="L90" s="33"/>
      <c r="O90" s="2">
        <f t="shared" si="18"/>
        <v>0</v>
      </c>
      <c r="P90" s="2">
        <f t="shared" si="19"/>
        <v>0</v>
      </c>
      <c r="Q90" s="7">
        <f t="shared" si="20"/>
        <v>0</v>
      </c>
      <c r="R90" s="2">
        <v>1.2</v>
      </c>
      <c r="S90" s="2">
        <f t="shared" si="14"/>
        <v>4.45</v>
      </c>
      <c r="T90" s="2"/>
      <c r="U90" s="2"/>
      <c r="Y90" s="8">
        <f t="shared" si="15"/>
        <v>0</v>
      </c>
    </row>
    <row r="91" spans="1:25" x14ac:dyDescent="0.25">
      <c r="A91" s="34">
        <f t="shared" ref="A91:B106" si="23">A90+1</f>
        <v>83</v>
      </c>
      <c r="B91" s="35">
        <f>B88+1</f>
        <v>78</v>
      </c>
      <c r="C91" s="42" t="s">
        <v>39</v>
      </c>
      <c r="D91" s="44" t="s">
        <v>45</v>
      </c>
      <c r="E91" s="43">
        <v>1</v>
      </c>
      <c r="F91" s="36">
        <f>109106.5/1000000</f>
        <v>0.1091065</v>
      </c>
      <c r="G91" s="36">
        <f t="shared" si="21"/>
        <v>2.1493980499999999E-2</v>
      </c>
      <c r="H91" s="36">
        <f>43056/1000000</f>
        <v>4.3055999999999997E-2</v>
      </c>
      <c r="I91" s="37">
        <f t="shared" si="22"/>
        <v>6.4583999999999996E-3</v>
      </c>
      <c r="J91" s="32">
        <f t="shared" si="13"/>
        <v>9.5799600000000013E-2</v>
      </c>
      <c r="K91" s="33">
        <f t="shared" si="16"/>
        <v>1.4369940000000001E-2</v>
      </c>
      <c r="L91" s="33"/>
      <c r="O91" s="2">
        <f t="shared" si="18"/>
        <v>1.7940000000000001E-2</v>
      </c>
      <c r="P91" s="2">
        <f t="shared" si="19"/>
        <v>12.916800000000002</v>
      </c>
      <c r="Q91" s="7">
        <f t="shared" si="20"/>
        <v>58.500000000000007</v>
      </c>
      <c r="R91" s="2">
        <v>1.2</v>
      </c>
      <c r="S91" s="2">
        <f t="shared" si="14"/>
        <v>4.45</v>
      </c>
      <c r="T91" s="2"/>
      <c r="U91" s="2"/>
      <c r="Y91" s="8">
        <f t="shared" si="15"/>
        <v>2.0826000000000002</v>
      </c>
    </row>
    <row r="92" spans="1:25" x14ac:dyDescent="0.25">
      <c r="A92" s="34">
        <f t="shared" si="23"/>
        <v>84</v>
      </c>
      <c r="B92" s="35">
        <f>B91+1</f>
        <v>79</v>
      </c>
      <c r="C92" s="42" t="s">
        <v>39</v>
      </c>
      <c r="D92" s="41" t="s">
        <v>45</v>
      </c>
      <c r="E92" s="35">
        <v>2</v>
      </c>
      <c r="F92" s="36">
        <f>109106.5/1000000</f>
        <v>0.1091065</v>
      </c>
      <c r="G92" s="36">
        <f t="shared" si="21"/>
        <v>2.1493980499999999E-2</v>
      </c>
      <c r="H92" s="36">
        <f>43056/1000000</f>
        <v>4.3055999999999997E-2</v>
      </c>
      <c r="I92" s="37">
        <f t="shared" si="22"/>
        <v>6.4583999999999996E-3</v>
      </c>
      <c r="J92" s="32">
        <f t="shared" si="13"/>
        <v>9.5799600000000013E-2</v>
      </c>
      <c r="K92" s="33">
        <f t="shared" si="16"/>
        <v>1.4369940000000001E-2</v>
      </c>
      <c r="L92" s="33"/>
      <c r="O92" s="2">
        <f t="shared" si="18"/>
        <v>1.7940000000000001E-2</v>
      </c>
      <c r="P92" s="2">
        <f t="shared" si="19"/>
        <v>12.916800000000002</v>
      </c>
      <c r="Q92" s="7">
        <f t="shared" si="20"/>
        <v>58.500000000000007</v>
      </c>
      <c r="R92" s="2">
        <v>1.2</v>
      </c>
      <c r="S92" s="2">
        <f t="shared" si="14"/>
        <v>4.45</v>
      </c>
      <c r="T92" s="2"/>
      <c r="U92" s="2"/>
      <c r="Y92" s="8">
        <f t="shared" si="15"/>
        <v>2.0826000000000002</v>
      </c>
    </row>
    <row r="93" spans="1:25" x14ac:dyDescent="0.25">
      <c r="A93" s="34">
        <f t="shared" si="23"/>
        <v>85</v>
      </c>
      <c r="B93" s="35">
        <f>B92+1</f>
        <v>80</v>
      </c>
      <c r="C93" s="42" t="s">
        <v>39</v>
      </c>
      <c r="D93" s="44" t="s">
        <v>46</v>
      </c>
      <c r="E93" s="43">
        <v>1</v>
      </c>
      <c r="F93" s="36">
        <f>42900/1000000</f>
        <v>4.2900000000000001E-2</v>
      </c>
      <c r="G93" s="36">
        <f t="shared" si="21"/>
        <v>8.4513000000000001E-3</v>
      </c>
      <c r="H93" s="36">
        <f>11040/1000000</f>
        <v>1.1039999999999999E-2</v>
      </c>
      <c r="I93" s="37">
        <f t="shared" si="22"/>
        <v>1.6559999999999999E-3</v>
      </c>
      <c r="J93" s="32">
        <f t="shared" si="13"/>
        <v>2.4563999999999999E-2</v>
      </c>
      <c r="K93" s="33">
        <f t="shared" si="16"/>
        <v>3.6845999999999997E-3</v>
      </c>
      <c r="L93" s="33"/>
      <c r="O93" s="2">
        <f t="shared" si="18"/>
        <v>4.5999999999999999E-3</v>
      </c>
      <c r="P93" s="2">
        <f t="shared" si="19"/>
        <v>3.3119999999999998</v>
      </c>
      <c r="Q93" s="7">
        <f t="shared" si="20"/>
        <v>15</v>
      </c>
      <c r="R93" s="2">
        <v>1.2</v>
      </c>
      <c r="S93" s="2">
        <f t="shared" si="14"/>
        <v>4.45</v>
      </c>
      <c r="T93" s="2"/>
      <c r="U93" s="2"/>
      <c r="Y93" s="8">
        <f t="shared" si="15"/>
        <v>0.53399999999999992</v>
      </c>
    </row>
    <row r="94" spans="1:25" x14ac:dyDescent="0.25">
      <c r="A94" s="34">
        <f t="shared" si="23"/>
        <v>86</v>
      </c>
      <c r="B94" s="35">
        <f>B93+1</f>
        <v>81</v>
      </c>
      <c r="C94" s="42" t="s">
        <v>39</v>
      </c>
      <c r="D94" s="44" t="s">
        <v>47</v>
      </c>
      <c r="E94" s="43"/>
      <c r="F94" s="36">
        <f>113590/1000000</f>
        <v>0.11359</v>
      </c>
      <c r="G94" s="36">
        <f t="shared" si="21"/>
        <v>2.2377230000000001E-2</v>
      </c>
      <c r="H94" s="36">
        <f>75806/1000000</f>
        <v>7.5805999999999998E-2</v>
      </c>
      <c r="I94" s="37">
        <f t="shared" si="22"/>
        <v>1.13709E-2</v>
      </c>
      <c r="J94" s="32">
        <f t="shared" si="13"/>
        <v>0.16866834999999999</v>
      </c>
      <c r="K94" s="33">
        <f t="shared" si="16"/>
        <v>2.5300252499999999E-2</v>
      </c>
      <c r="L94" s="33"/>
      <c r="O94" s="2">
        <f t="shared" si="18"/>
        <v>3.1585833333333334E-2</v>
      </c>
      <c r="P94" s="2">
        <f t="shared" si="19"/>
        <v>22.741799999999998</v>
      </c>
      <c r="Q94" s="7">
        <f t="shared" si="20"/>
        <v>102.99728260869564</v>
      </c>
      <c r="R94" s="2">
        <v>1.2</v>
      </c>
      <c r="S94" s="2">
        <f t="shared" si="14"/>
        <v>4.45</v>
      </c>
      <c r="T94" s="2"/>
      <c r="U94" s="2"/>
      <c r="Y94" s="8">
        <f t="shared" si="15"/>
        <v>3.6667032608695651</v>
      </c>
    </row>
    <row r="95" spans="1:25" x14ac:dyDescent="0.25">
      <c r="A95" s="34">
        <f t="shared" si="23"/>
        <v>87</v>
      </c>
      <c r="B95" s="35">
        <f>B94+1</f>
        <v>82</v>
      </c>
      <c r="C95" s="42" t="s">
        <v>39</v>
      </c>
      <c r="D95" s="44" t="s">
        <v>48</v>
      </c>
      <c r="E95" s="43"/>
      <c r="F95" s="36">
        <f>153994/1000000</f>
        <v>0.15399399999999999</v>
      </c>
      <c r="G95" s="36">
        <f t="shared" si="21"/>
        <v>3.0336817999999998E-2</v>
      </c>
      <c r="H95" s="36">
        <f>94207/1000000</f>
        <v>9.4206999999999999E-2</v>
      </c>
      <c r="I95" s="37">
        <f t="shared" si="22"/>
        <v>1.4131049999999999E-2</v>
      </c>
      <c r="J95" s="32">
        <f t="shared" si="13"/>
        <v>0.20961057499999999</v>
      </c>
      <c r="K95" s="33">
        <f t="shared" si="16"/>
        <v>3.144158625E-2</v>
      </c>
      <c r="L95" s="33"/>
      <c r="O95" s="2">
        <f t="shared" si="18"/>
        <v>3.9252916666666665E-2</v>
      </c>
      <c r="P95" s="2">
        <f t="shared" si="19"/>
        <v>28.2621</v>
      </c>
      <c r="Q95" s="7">
        <f t="shared" si="20"/>
        <v>127.99864130434783</v>
      </c>
      <c r="R95" s="2">
        <v>1.2</v>
      </c>
      <c r="S95" s="2">
        <f t="shared" si="14"/>
        <v>4.45</v>
      </c>
      <c r="T95" s="2"/>
      <c r="U95" s="2"/>
      <c r="Y95" s="8">
        <f t="shared" si="15"/>
        <v>4.5567516304347828</v>
      </c>
    </row>
    <row r="96" spans="1:25" ht="30" x14ac:dyDescent="0.25">
      <c r="A96" s="34">
        <f t="shared" si="23"/>
        <v>88</v>
      </c>
      <c r="B96" s="35">
        <f t="shared" si="23"/>
        <v>83</v>
      </c>
      <c r="C96" s="42" t="s">
        <v>39</v>
      </c>
      <c r="D96" s="44" t="s">
        <v>49</v>
      </c>
      <c r="E96" s="43"/>
      <c r="F96" s="36">
        <f>153305/1000000</f>
        <v>0.153305</v>
      </c>
      <c r="G96" s="36">
        <f t="shared" si="21"/>
        <v>3.0201084999999999E-2</v>
      </c>
      <c r="H96" s="36">
        <f>68446/1000000</f>
        <v>6.8446000000000007E-2</v>
      </c>
      <c r="I96" s="37">
        <f t="shared" si="22"/>
        <v>1.0266900000000001E-2</v>
      </c>
      <c r="J96" s="32">
        <f t="shared" si="13"/>
        <v>0.15229235000000002</v>
      </c>
      <c r="K96" s="33">
        <f t="shared" si="16"/>
        <v>2.2843852500000001E-2</v>
      </c>
      <c r="L96" s="33"/>
      <c r="O96" s="2">
        <f t="shared" si="18"/>
        <v>2.8519166666666672E-2</v>
      </c>
      <c r="P96" s="2">
        <f t="shared" si="19"/>
        <v>20.533800000000003</v>
      </c>
      <c r="Q96" s="7">
        <f t="shared" si="20"/>
        <v>92.99728260869567</v>
      </c>
      <c r="R96" s="2">
        <v>1.2</v>
      </c>
      <c r="S96" s="2">
        <f t="shared" si="14"/>
        <v>4.45</v>
      </c>
      <c r="T96" s="2"/>
      <c r="U96" s="2"/>
      <c r="Y96" s="8">
        <f t="shared" si="15"/>
        <v>3.3107032608695657</v>
      </c>
    </row>
    <row r="97" spans="1:25" x14ac:dyDescent="0.25">
      <c r="A97" s="34">
        <f t="shared" si="23"/>
        <v>89</v>
      </c>
      <c r="B97" s="35">
        <f t="shared" si="23"/>
        <v>84</v>
      </c>
      <c r="C97" s="42" t="s">
        <v>39</v>
      </c>
      <c r="D97" s="44" t="s">
        <v>50</v>
      </c>
      <c r="E97" s="43">
        <v>1</v>
      </c>
      <c r="F97" s="36">
        <f>133919/1000000</f>
        <v>0.13391900000000001</v>
      </c>
      <c r="G97" s="36">
        <f t="shared" si="21"/>
        <v>2.6382043000000004E-2</v>
      </c>
      <c r="H97" s="36">
        <f>86481/1000000</f>
        <v>8.6481000000000002E-2</v>
      </c>
      <c r="I97" s="37">
        <f t="shared" si="22"/>
        <v>1.297215E-2</v>
      </c>
      <c r="J97" s="32">
        <f t="shared" si="13"/>
        <v>0.192420225</v>
      </c>
      <c r="K97" s="33">
        <f t="shared" si="16"/>
        <v>2.8863033749999999E-2</v>
      </c>
      <c r="L97" s="33"/>
      <c r="O97" s="2">
        <f t="shared" si="18"/>
        <v>3.6033750000000003E-2</v>
      </c>
      <c r="P97" s="2">
        <f t="shared" si="19"/>
        <v>25.944300000000002</v>
      </c>
      <c r="Q97" s="7">
        <f t="shared" si="20"/>
        <v>117.50135869565219</v>
      </c>
      <c r="R97" s="2">
        <v>1.2</v>
      </c>
      <c r="S97" s="2">
        <f t="shared" si="14"/>
        <v>4.45</v>
      </c>
      <c r="T97" s="2"/>
      <c r="U97" s="2"/>
      <c r="Y97" s="8">
        <f t="shared" si="15"/>
        <v>4.1830483695652179</v>
      </c>
    </row>
    <row r="98" spans="1:25" x14ac:dyDescent="0.25">
      <c r="A98" s="34">
        <f t="shared" si="23"/>
        <v>90</v>
      </c>
      <c r="B98" s="35">
        <f t="shared" si="23"/>
        <v>85</v>
      </c>
      <c r="C98" s="42" t="s">
        <v>39</v>
      </c>
      <c r="D98" s="41" t="s">
        <v>50</v>
      </c>
      <c r="E98" s="35">
        <v>2</v>
      </c>
      <c r="F98" s="36">
        <f>133919/1000000</f>
        <v>0.13391900000000001</v>
      </c>
      <c r="G98" s="36">
        <f t="shared" si="21"/>
        <v>2.6382043000000004E-2</v>
      </c>
      <c r="H98" s="36">
        <f>86481/1000000</f>
        <v>8.6481000000000002E-2</v>
      </c>
      <c r="I98" s="37">
        <f t="shared" si="22"/>
        <v>1.297215E-2</v>
      </c>
      <c r="J98" s="32">
        <f t="shared" si="13"/>
        <v>0.192420225</v>
      </c>
      <c r="K98" s="33">
        <f t="shared" si="16"/>
        <v>2.8863033749999999E-2</v>
      </c>
      <c r="L98" s="33"/>
      <c r="O98" s="2">
        <f t="shared" si="18"/>
        <v>3.6033750000000003E-2</v>
      </c>
      <c r="P98" s="2">
        <f t="shared" si="19"/>
        <v>25.944300000000002</v>
      </c>
      <c r="Q98" s="7">
        <f t="shared" si="20"/>
        <v>117.50135869565219</v>
      </c>
      <c r="R98" s="2">
        <v>1.2</v>
      </c>
      <c r="S98" s="2">
        <f t="shared" si="14"/>
        <v>4.45</v>
      </c>
      <c r="T98" s="2"/>
      <c r="U98" s="2"/>
      <c r="Y98" s="8">
        <f t="shared" si="15"/>
        <v>4.1830483695652179</v>
      </c>
    </row>
    <row r="99" spans="1:25" x14ac:dyDescent="0.25">
      <c r="A99" s="34">
        <f t="shared" si="23"/>
        <v>91</v>
      </c>
      <c r="B99" s="35">
        <f t="shared" si="23"/>
        <v>86</v>
      </c>
      <c r="C99" s="42" t="s">
        <v>39</v>
      </c>
      <c r="D99" s="44" t="s">
        <v>51</v>
      </c>
      <c r="E99" s="43"/>
      <c r="F99" s="36">
        <f>126834/1000000</f>
        <v>0.126834</v>
      </c>
      <c r="G99" s="36">
        <f t="shared" si="21"/>
        <v>2.4986298000000001E-2</v>
      </c>
      <c r="H99" s="36">
        <f>69919/1000000</f>
        <v>6.9918999999999995E-2</v>
      </c>
      <c r="I99" s="37">
        <f t="shared" si="22"/>
        <v>1.0487849999999998E-2</v>
      </c>
      <c r="J99" s="32">
        <f t="shared" si="13"/>
        <v>0.15556977499999999</v>
      </c>
      <c r="K99" s="33">
        <f t="shared" si="16"/>
        <v>2.3335466249999999E-2</v>
      </c>
      <c r="L99" s="33"/>
      <c r="O99" s="2">
        <f t="shared" si="18"/>
        <v>2.9132916666666665E-2</v>
      </c>
      <c r="P99" s="2">
        <f t="shared" si="19"/>
        <v>20.9757</v>
      </c>
      <c r="Q99" s="7">
        <f t="shared" si="20"/>
        <v>94.998641304347828</v>
      </c>
      <c r="R99" s="2">
        <v>1.2</v>
      </c>
      <c r="S99" s="2">
        <f t="shared" si="14"/>
        <v>4.45</v>
      </c>
      <c r="T99" s="2"/>
      <c r="U99" s="2"/>
      <c r="Y99" s="8">
        <f t="shared" si="15"/>
        <v>3.3819516304347821</v>
      </c>
    </row>
    <row r="100" spans="1:25" x14ac:dyDescent="0.25">
      <c r="A100" s="34">
        <f t="shared" si="23"/>
        <v>92</v>
      </c>
      <c r="B100" s="35">
        <f t="shared" si="23"/>
        <v>87</v>
      </c>
      <c r="C100" s="42" t="s">
        <v>39</v>
      </c>
      <c r="D100" s="44" t="s">
        <v>52</v>
      </c>
      <c r="E100" s="43"/>
      <c r="F100" s="36">
        <f>223354/1000000</f>
        <v>0.223354</v>
      </c>
      <c r="G100" s="36">
        <f t="shared" si="21"/>
        <v>4.4000738000000005E-2</v>
      </c>
      <c r="H100" s="36">
        <f>94944/1000000</f>
        <v>9.4944000000000001E-2</v>
      </c>
      <c r="I100" s="37">
        <f t="shared" si="22"/>
        <v>1.42416E-2</v>
      </c>
      <c r="J100" s="32">
        <f t="shared" si="13"/>
        <v>0.21125040000000003</v>
      </c>
      <c r="K100" s="33">
        <f t="shared" si="16"/>
        <v>3.1687560000000004E-2</v>
      </c>
      <c r="L100" s="33"/>
      <c r="O100" s="2">
        <f t="shared" si="18"/>
        <v>3.9560000000000005E-2</v>
      </c>
      <c r="P100" s="2">
        <f t="shared" si="19"/>
        <v>28.483200000000004</v>
      </c>
      <c r="Q100" s="7">
        <f t="shared" si="20"/>
        <v>129.00000000000003</v>
      </c>
      <c r="R100" s="2">
        <v>1.2</v>
      </c>
      <c r="S100" s="2">
        <f t="shared" si="14"/>
        <v>4.45</v>
      </c>
      <c r="T100" s="2"/>
      <c r="U100" s="2"/>
      <c r="Y100" s="8">
        <f t="shared" si="15"/>
        <v>4.5924000000000005</v>
      </c>
    </row>
    <row r="101" spans="1:25" x14ac:dyDescent="0.25">
      <c r="A101" s="34">
        <f t="shared" si="23"/>
        <v>93</v>
      </c>
      <c r="B101" s="35">
        <f t="shared" si="23"/>
        <v>88</v>
      </c>
      <c r="C101" s="42" t="s">
        <v>39</v>
      </c>
      <c r="D101" s="44" t="s">
        <v>53</v>
      </c>
      <c r="E101" s="43"/>
      <c r="F101" s="36">
        <f>165000/1000000</f>
        <v>0.16500000000000001</v>
      </c>
      <c r="G101" s="36">
        <f t="shared" si="21"/>
        <v>3.2505000000000006E-2</v>
      </c>
      <c r="H101" s="36">
        <f>89218/1000000</f>
        <v>8.9218000000000006E-2</v>
      </c>
      <c r="I101" s="37">
        <f t="shared" si="22"/>
        <v>1.3382700000000001E-2</v>
      </c>
      <c r="J101" s="32">
        <f t="shared" si="13"/>
        <v>0.19851005000000002</v>
      </c>
      <c r="K101" s="33">
        <f t="shared" si="16"/>
        <v>2.97765075E-2</v>
      </c>
      <c r="L101" s="33"/>
      <c r="O101" s="2">
        <f t="shared" si="18"/>
        <v>3.7174166666666668E-2</v>
      </c>
      <c r="P101" s="2">
        <f t="shared" si="19"/>
        <v>26.7654</v>
      </c>
      <c r="Q101" s="7">
        <f t="shared" si="20"/>
        <v>121.22010869565217</v>
      </c>
      <c r="R101" s="2">
        <v>1.2</v>
      </c>
      <c r="S101" s="2">
        <f t="shared" si="14"/>
        <v>4.45</v>
      </c>
      <c r="T101" s="2"/>
      <c r="U101" s="2"/>
      <c r="Y101" s="8">
        <f t="shared" si="15"/>
        <v>4.315435869565218</v>
      </c>
    </row>
    <row r="102" spans="1:25" x14ac:dyDescent="0.25">
      <c r="A102" s="34">
        <f t="shared" si="23"/>
        <v>94</v>
      </c>
      <c r="B102" s="35">
        <f t="shared" si="23"/>
        <v>89</v>
      </c>
      <c r="C102" s="42" t="s">
        <v>39</v>
      </c>
      <c r="D102" s="44" t="s">
        <v>54</v>
      </c>
      <c r="E102" s="43"/>
      <c r="F102" s="36">
        <f>158723/1000000</f>
        <v>0.158723</v>
      </c>
      <c r="G102" s="36">
        <f t="shared" si="21"/>
        <v>3.1268430999999999E-2</v>
      </c>
      <c r="H102" s="36">
        <f>121440/1000000</f>
        <v>0.12144000000000001</v>
      </c>
      <c r="I102" s="37">
        <f t="shared" si="22"/>
        <v>1.8216E-2</v>
      </c>
      <c r="J102" s="32">
        <f t="shared" si="13"/>
        <v>0.22466400000000003</v>
      </c>
      <c r="K102" s="33">
        <f t="shared" si="16"/>
        <v>3.3699600000000003E-2</v>
      </c>
      <c r="L102" s="33"/>
      <c r="O102" s="2">
        <f t="shared" si="18"/>
        <v>5.0600000000000006E-2</v>
      </c>
      <c r="P102" s="2">
        <f t="shared" si="19"/>
        <v>36.432000000000002</v>
      </c>
      <c r="Q102" s="7">
        <f t="shared" si="20"/>
        <v>165</v>
      </c>
      <c r="R102" s="2">
        <v>1.2</v>
      </c>
      <c r="S102" s="2">
        <f t="shared" si="14"/>
        <v>3.7</v>
      </c>
      <c r="T102" s="2"/>
      <c r="U102" s="2"/>
      <c r="Y102" s="8">
        <f t="shared" si="15"/>
        <v>4.8840000000000003</v>
      </c>
    </row>
    <row r="103" spans="1:25" x14ac:dyDescent="0.25">
      <c r="A103" s="34">
        <f t="shared" si="23"/>
        <v>95</v>
      </c>
      <c r="B103" s="35">
        <f t="shared" si="23"/>
        <v>90</v>
      </c>
      <c r="C103" s="42" t="s">
        <v>39</v>
      </c>
      <c r="D103" s="44" t="s">
        <v>55</v>
      </c>
      <c r="E103" s="43"/>
      <c r="F103" s="36">
        <f>228120/1000000</f>
        <v>0.22811999999999999</v>
      </c>
      <c r="G103" s="36">
        <f t="shared" si="21"/>
        <v>4.4939640000000003E-2</v>
      </c>
      <c r="H103" s="36">
        <f>81696/1000000</f>
        <v>8.1696000000000005E-2</v>
      </c>
      <c r="I103" s="37">
        <f t="shared" si="22"/>
        <v>1.22544E-2</v>
      </c>
      <c r="J103" s="32">
        <f t="shared" si="13"/>
        <v>0.18177360000000001</v>
      </c>
      <c r="K103" s="33">
        <f t="shared" si="16"/>
        <v>2.7266040000000002E-2</v>
      </c>
      <c r="L103" s="33"/>
      <c r="O103" s="2">
        <f t="shared" si="18"/>
        <v>3.4040000000000001E-2</v>
      </c>
      <c r="P103" s="2">
        <f t="shared" si="19"/>
        <v>24.508800000000001</v>
      </c>
      <c r="Q103" s="7">
        <f t="shared" si="20"/>
        <v>111</v>
      </c>
      <c r="R103" s="2">
        <v>1.2</v>
      </c>
      <c r="S103" s="2">
        <f t="shared" si="14"/>
        <v>4.45</v>
      </c>
      <c r="T103" s="2"/>
      <c r="U103" s="2"/>
      <c r="Y103" s="8">
        <f t="shared" si="15"/>
        <v>3.9516000000000004</v>
      </c>
    </row>
    <row r="104" spans="1:25" x14ac:dyDescent="0.25">
      <c r="A104" s="34">
        <f t="shared" si="23"/>
        <v>96</v>
      </c>
      <c r="B104" s="35">
        <f t="shared" si="23"/>
        <v>91</v>
      </c>
      <c r="C104" s="42" t="s">
        <v>39</v>
      </c>
      <c r="D104" s="44" t="s">
        <v>56</v>
      </c>
      <c r="E104" s="43"/>
      <c r="F104" s="36">
        <f>146230/1000000</f>
        <v>0.14623</v>
      </c>
      <c r="G104" s="36">
        <f t="shared" si="21"/>
        <v>2.8807310000000003E-2</v>
      </c>
      <c r="H104" s="36">
        <f>74338/1000000</f>
        <v>7.4338000000000001E-2</v>
      </c>
      <c r="I104" s="37">
        <f t="shared" si="22"/>
        <v>1.11507E-2</v>
      </c>
      <c r="J104" s="32">
        <f t="shared" si="13"/>
        <v>0.16540205000000002</v>
      </c>
      <c r="K104" s="33">
        <f t="shared" si="16"/>
        <v>2.4810307500000003E-2</v>
      </c>
      <c r="L104" s="33"/>
      <c r="O104" s="2">
        <f t="shared" si="18"/>
        <v>3.0974166666666667E-2</v>
      </c>
      <c r="P104" s="2">
        <f t="shared" si="19"/>
        <v>22.301400000000001</v>
      </c>
      <c r="Q104" s="7">
        <f t="shared" si="20"/>
        <v>101.00271739130436</v>
      </c>
      <c r="R104" s="2">
        <v>1.2</v>
      </c>
      <c r="S104" s="2">
        <f t="shared" si="14"/>
        <v>4.45</v>
      </c>
      <c r="T104" s="2"/>
      <c r="U104" s="2"/>
      <c r="Y104" s="8">
        <f t="shared" si="15"/>
        <v>3.5956967391304353</v>
      </c>
    </row>
    <row r="105" spans="1:25" x14ac:dyDescent="0.25">
      <c r="A105" s="34">
        <f t="shared" si="23"/>
        <v>97</v>
      </c>
      <c r="B105" s="35">
        <f t="shared" si="23"/>
        <v>92</v>
      </c>
      <c r="C105" s="42" t="s">
        <v>39</v>
      </c>
      <c r="D105" s="44" t="s">
        <v>57</v>
      </c>
      <c r="E105" s="43"/>
      <c r="F105" s="36">
        <f>144939/1000000</f>
        <v>0.14493900000000001</v>
      </c>
      <c r="G105" s="36">
        <f t="shared" si="21"/>
        <v>2.8552983000000004E-2</v>
      </c>
      <c r="H105" s="36">
        <f>52994/1000000</f>
        <v>5.2993999999999999E-2</v>
      </c>
      <c r="I105" s="37">
        <f t="shared" si="22"/>
        <v>7.9490999999999989E-3</v>
      </c>
      <c r="J105" s="32">
        <f t="shared" si="13"/>
        <v>0.11791165000000001</v>
      </c>
      <c r="K105" s="33">
        <f t="shared" si="16"/>
        <v>1.7686747499999999E-2</v>
      </c>
      <c r="L105" s="33"/>
      <c r="O105" s="2">
        <f t="shared" si="18"/>
        <v>2.2080833333333334E-2</v>
      </c>
      <c r="P105" s="2">
        <f t="shared" si="19"/>
        <v>15.898200000000003</v>
      </c>
      <c r="Q105" s="7">
        <f t="shared" si="20"/>
        <v>72.002717391304358</v>
      </c>
      <c r="R105" s="2">
        <v>1.2</v>
      </c>
      <c r="S105" s="2">
        <f t="shared" si="14"/>
        <v>4.45</v>
      </c>
      <c r="T105" s="2"/>
      <c r="U105" s="2"/>
      <c r="Y105" s="8">
        <f t="shared" si="15"/>
        <v>2.5632967391304349</v>
      </c>
    </row>
    <row r="106" spans="1:25" x14ac:dyDescent="0.25">
      <c r="A106" s="34">
        <f t="shared" si="23"/>
        <v>98</v>
      </c>
      <c r="B106" s="35">
        <f t="shared" si="23"/>
        <v>93</v>
      </c>
      <c r="C106" s="42" t="s">
        <v>39</v>
      </c>
      <c r="D106" s="44" t="s">
        <v>58</v>
      </c>
      <c r="E106" s="43"/>
      <c r="F106" s="36">
        <f>182018/1000000</f>
        <v>0.18201800000000001</v>
      </c>
      <c r="G106" s="36">
        <f t="shared" si="21"/>
        <v>3.5857546000000004E-2</v>
      </c>
      <c r="H106" s="36">
        <f>91262/1000000</f>
        <v>9.1261999999999996E-2</v>
      </c>
      <c r="I106" s="37">
        <f t="shared" si="22"/>
        <v>1.36893E-2</v>
      </c>
      <c r="J106" s="32">
        <f t="shared" si="13"/>
        <v>0.20305794999999999</v>
      </c>
      <c r="K106" s="33">
        <f t="shared" si="16"/>
        <v>3.0458692499999995E-2</v>
      </c>
      <c r="L106" s="33"/>
      <c r="O106" s="2">
        <f t="shared" si="18"/>
        <v>3.8025833333333335E-2</v>
      </c>
      <c r="P106" s="2">
        <f t="shared" si="19"/>
        <v>27.378599999999999</v>
      </c>
      <c r="Q106" s="7">
        <f t="shared" si="20"/>
        <v>123.99728260869564</v>
      </c>
      <c r="R106" s="2">
        <v>1.2</v>
      </c>
      <c r="S106" s="2">
        <f t="shared" si="14"/>
        <v>4.45</v>
      </c>
      <c r="T106" s="2"/>
      <c r="U106" s="2"/>
      <c r="Y106" s="8">
        <f t="shared" si="15"/>
        <v>4.4143032608695654</v>
      </c>
    </row>
    <row r="107" spans="1:25" x14ac:dyDescent="0.25">
      <c r="A107" s="34">
        <f t="shared" ref="A107:B122" si="24">A106+1</f>
        <v>99</v>
      </c>
      <c r="B107" s="35">
        <f t="shared" si="24"/>
        <v>94</v>
      </c>
      <c r="C107" s="42" t="s">
        <v>39</v>
      </c>
      <c r="D107" s="44" t="s">
        <v>59</v>
      </c>
      <c r="E107" s="43"/>
      <c r="F107" s="36">
        <v>0.12740000000000001</v>
      </c>
      <c r="G107" s="36">
        <v>2.5100000000000001E-2</v>
      </c>
      <c r="H107" s="36">
        <v>5.3999999999999999E-2</v>
      </c>
      <c r="I107" s="37">
        <v>8.2000000000000007E-3</v>
      </c>
      <c r="J107" s="32">
        <f t="shared" si="13"/>
        <v>0.12015000000000001</v>
      </c>
      <c r="K107" s="33">
        <f t="shared" si="16"/>
        <v>1.80225E-2</v>
      </c>
      <c r="L107" s="33"/>
      <c r="O107" s="2">
        <f t="shared" si="18"/>
        <v>2.2499999999999999E-2</v>
      </c>
      <c r="P107" s="2">
        <f t="shared" si="19"/>
        <v>16.200000000000003</v>
      </c>
      <c r="Q107" s="7">
        <f t="shared" si="20"/>
        <v>73.369565217391312</v>
      </c>
      <c r="R107" s="2">
        <v>1.2</v>
      </c>
      <c r="S107" s="2">
        <f t="shared" si="14"/>
        <v>4.45</v>
      </c>
      <c r="T107" s="2"/>
      <c r="U107" s="2"/>
      <c r="Y107" s="8">
        <f t="shared" si="15"/>
        <v>2.6119565217391307</v>
      </c>
    </row>
    <row r="108" spans="1:25" x14ac:dyDescent="0.25">
      <c r="A108" s="34">
        <f t="shared" si="24"/>
        <v>100</v>
      </c>
      <c r="B108" s="35">
        <f t="shared" si="24"/>
        <v>95</v>
      </c>
      <c r="C108" s="42" t="s">
        <v>39</v>
      </c>
      <c r="D108" s="44" t="s">
        <v>60</v>
      </c>
      <c r="E108" s="43"/>
      <c r="F108" s="36">
        <f>196779/1000000</f>
        <v>0.19677900000000001</v>
      </c>
      <c r="G108" s="36">
        <f t="shared" ref="G108:G114" si="25">F108*0.197</f>
        <v>3.8765463000000007E-2</v>
      </c>
      <c r="H108" s="36">
        <f>74338/1000000</f>
        <v>7.4338000000000001E-2</v>
      </c>
      <c r="I108" s="37">
        <f t="shared" ref="I108:I114" si="26">H108*0.15</f>
        <v>1.11507E-2</v>
      </c>
      <c r="J108" s="32">
        <f t="shared" si="13"/>
        <v>0.16540205000000002</v>
      </c>
      <c r="K108" s="33">
        <f t="shared" si="16"/>
        <v>2.4810307500000003E-2</v>
      </c>
      <c r="L108" s="33"/>
      <c r="O108" s="2">
        <f t="shared" si="18"/>
        <v>3.0974166666666667E-2</v>
      </c>
      <c r="P108" s="2">
        <f t="shared" si="19"/>
        <v>22.301400000000001</v>
      </c>
      <c r="Q108" s="7">
        <f t="shared" si="20"/>
        <v>101.00271739130436</v>
      </c>
      <c r="R108" s="2">
        <v>1.2</v>
      </c>
      <c r="S108" s="2">
        <f t="shared" si="14"/>
        <v>4.45</v>
      </c>
      <c r="T108" s="2"/>
      <c r="U108" s="2"/>
      <c r="Y108" s="8">
        <f t="shared" si="15"/>
        <v>3.5956967391304353</v>
      </c>
    </row>
    <row r="109" spans="1:25" x14ac:dyDescent="0.25">
      <c r="A109" s="34">
        <f t="shared" si="24"/>
        <v>101</v>
      </c>
      <c r="B109" s="35">
        <f t="shared" si="24"/>
        <v>96</v>
      </c>
      <c r="C109" s="42" t="s">
        <v>39</v>
      </c>
      <c r="D109" s="44" t="s">
        <v>61</v>
      </c>
      <c r="E109" s="43"/>
      <c r="F109" s="36">
        <f>135877/1000000</f>
        <v>0.135877</v>
      </c>
      <c r="G109" s="36">
        <f t="shared" si="25"/>
        <v>2.6767769E-2</v>
      </c>
      <c r="H109" s="36">
        <f>55200/1000000</f>
        <v>5.5199999999999999E-2</v>
      </c>
      <c r="I109" s="37">
        <f t="shared" si="26"/>
        <v>8.2799999999999992E-3</v>
      </c>
      <c r="J109" s="32">
        <f t="shared" si="13"/>
        <v>0.12282</v>
      </c>
      <c r="K109" s="33">
        <f t="shared" si="16"/>
        <v>1.8422999999999998E-2</v>
      </c>
      <c r="L109" s="33"/>
      <c r="O109" s="2">
        <f t="shared" si="18"/>
        <v>2.3E-2</v>
      </c>
      <c r="P109" s="2">
        <f t="shared" si="19"/>
        <v>16.560000000000002</v>
      </c>
      <c r="Q109" s="7">
        <f t="shared" si="20"/>
        <v>75.000000000000014</v>
      </c>
      <c r="R109" s="2">
        <v>1.2</v>
      </c>
      <c r="S109" s="2">
        <f t="shared" si="14"/>
        <v>4.45</v>
      </c>
      <c r="T109" s="2"/>
      <c r="U109" s="2"/>
      <c r="Y109" s="8">
        <f t="shared" si="15"/>
        <v>2.67</v>
      </c>
    </row>
    <row r="110" spans="1:25" x14ac:dyDescent="0.25">
      <c r="A110" s="34">
        <f t="shared" si="24"/>
        <v>102</v>
      </c>
      <c r="B110" s="35">
        <f t="shared" si="24"/>
        <v>97</v>
      </c>
      <c r="C110" s="42" t="s">
        <v>39</v>
      </c>
      <c r="D110" s="44" t="s">
        <v>62</v>
      </c>
      <c r="E110" s="43"/>
      <c r="F110" s="36">
        <f>150072/1000000</f>
        <v>0.15007200000000001</v>
      </c>
      <c r="G110" s="36">
        <f t="shared" si="25"/>
        <v>2.9564184000000004E-2</v>
      </c>
      <c r="H110" s="36">
        <f>80959/1000000</f>
        <v>8.0959000000000003E-2</v>
      </c>
      <c r="I110" s="37">
        <f t="shared" si="26"/>
        <v>1.2143849999999999E-2</v>
      </c>
      <c r="J110" s="32">
        <f t="shared" si="13"/>
        <v>0.18013377500000002</v>
      </c>
      <c r="K110" s="33">
        <f t="shared" si="16"/>
        <v>2.7020066250000002E-2</v>
      </c>
      <c r="L110" s="33"/>
      <c r="O110" s="2">
        <f t="shared" si="18"/>
        <v>3.3732916666666668E-2</v>
      </c>
      <c r="P110" s="2">
        <f t="shared" si="19"/>
        <v>24.287700000000001</v>
      </c>
      <c r="Q110" s="7">
        <f t="shared" si="20"/>
        <v>109.99864130434783</v>
      </c>
      <c r="R110" s="2">
        <v>1.2</v>
      </c>
      <c r="S110" s="2">
        <f t="shared" si="14"/>
        <v>4.45</v>
      </c>
      <c r="T110" s="2"/>
      <c r="U110" s="2"/>
      <c r="Y110" s="8">
        <f t="shared" si="15"/>
        <v>3.9159516304347832</v>
      </c>
    </row>
    <row r="111" spans="1:25" x14ac:dyDescent="0.25">
      <c r="A111" s="34">
        <f t="shared" si="24"/>
        <v>103</v>
      </c>
      <c r="B111" s="35">
        <f t="shared" si="24"/>
        <v>98</v>
      </c>
      <c r="C111" s="42" t="s">
        <v>39</v>
      </c>
      <c r="D111" s="43">
        <v>19</v>
      </c>
      <c r="E111" s="43"/>
      <c r="F111" s="36">
        <f>214854/1000000</f>
        <v>0.21485399999999999</v>
      </c>
      <c r="G111" s="36">
        <f t="shared" si="25"/>
        <v>4.2326238000000002E-2</v>
      </c>
      <c r="H111" s="36">
        <f>76543/1000000</f>
        <v>7.6543E-2</v>
      </c>
      <c r="I111" s="37">
        <f t="shared" si="26"/>
        <v>1.1481449999999999E-2</v>
      </c>
      <c r="J111" s="32">
        <f t="shared" si="13"/>
        <v>0.17030817500000001</v>
      </c>
      <c r="K111" s="33">
        <f t="shared" si="16"/>
        <v>2.5546226250000002E-2</v>
      </c>
      <c r="L111" s="33"/>
      <c r="O111" s="2">
        <f t="shared" si="18"/>
        <v>3.1892916666666667E-2</v>
      </c>
      <c r="P111" s="2">
        <f t="shared" si="19"/>
        <v>22.962900000000001</v>
      </c>
      <c r="Q111" s="7">
        <f t="shared" si="20"/>
        <v>103.99864130434783</v>
      </c>
      <c r="R111" s="2">
        <v>1.2</v>
      </c>
      <c r="S111" s="2">
        <f t="shared" si="14"/>
        <v>4.45</v>
      </c>
      <c r="T111" s="2"/>
      <c r="U111" s="2"/>
      <c r="Y111" s="8">
        <f t="shared" si="15"/>
        <v>3.7023516304347828</v>
      </c>
    </row>
    <row r="112" spans="1:25" x14ac:dyDescent="0.25">
      <c r="A112" s="34">
        <f t="shared" si="24"/>
        <v>104</v>
      </c>
      <c r="B112" s="35">
        <f t="shared" si="24"/>
        <v>99</v>
      </c>
      <c r="C112" s="42" t="s">
        <v>39</v>
      </c>
      <c r="D112" s="43">
        <v>27</v>
      </c>
      <c r="E112" s="43"/>
      <c r="F112" s="36">
        <f>147561/1000000</f>
        <v>0.147561</v>
      </c>
      <c r="G112" s="36">
        <f t="shared" si="25"/>
        <v>2.9069517E-2</v>
      </c>
      <c r="H112" s="36">
        <f>91264/1000000</f>
        <v>9.1263999999999998E-2</v>
      </c>
      <c r="I112" s="37">
        <f t="shared" si="26"/>
        <v>1.36896E-2</v>
      </c>
      <c r="J112" s="32">
        <f t="shared" si="13"/>
        <v>0.2030624</v>
      </c>
      <c r="K112" s="33">
        <f t="shared" si="16"/>
        <v>3.0459359999999998E-2</v>
      </c>
      <c r="L112" s="33"/>
      <c r="O112" s="2">
        <f t="shared" si="18"/>
        <v>3.8026666666666667E-2</v>
      </c>
      <c r="P112" s="2">
        <f t="shared" si="19"/>
        <v>27.379200000000001</v>
      </c>
      <c r="Q112" s="7">
        <f t="shared" si="20"/>
        <v>124</v>
      </c>
      <c r="R112" s="2">
        <v>1.2</v>
      </c>
      <c r="S112" s="2">
        <f t="shared" si="14"/>
        <v>4.45</v>
      </c>
      <c r="T112" s="2"/>
      <c r="U112" s="2"/>
      <c r="Y112" s="8">
        <f t="shared" si="15"/>
        <v>4.4143999999999997</v>
      </c>
    </row>
    <row r="113" spans="1:25" x14ac:dyDescent="0.25">
      <c r="A113" s="34">
        <f t="shared" si="24"/>
        <v>105</v>
      </c>
      <c r="B113" s="35">
        <f t="shared" si="24"/>
        <v>100</v>
      </c>
      <c r="C113" s="42" t="s">
        <v>39</v>
      </c>
      <c r="D113" s="43">
        <v>28</v>
      </c>
      <c r="E113" s="43"/>
      <c r="F113" s="36">
        <f>151979/1000000</f>
        <v>0.151979</v>
      </c>
      <c r="G113" s="36">
        <f t="shared" si="25"/>
        <v>2.9939863000000001E-2</v>
      </c>
      <c r="H113" s="36">
        <f>84641/1000000</f>
        <v>8.4640999999999994E-2</v>
      </c>
      <c r="I113" s="37">
        <f t="shared" si="26"/>
        <v>1.2696149999999998E-2</v>
      </c>
      <c r="J113" s="32">
        <f t="shared" si="13"/>
        <v>0.18832622499999999</v>
      </c>
      <c r="K113" s="33">
        <f t="shared" si="16"/>
        <v>2.8248933749999997E-2</v>
      </c>
      <c r="L113" s="33"/>
      <c r="O113" s="2">
        <f t="shared" si="18"/>
        <v>3.5267083333333331E-2</v>
      </c>
      <c r="P113" s="2">
        <f t="shared" si="19"/>
        <v>25.392299999999995</v>
      </c>
      <c r="Q113" s="7">
        <f t="shared" si="20"/>
        <v>115.00135869565216</v>
      </c>
      <c r="R113" s="2">
        <v>1.2</v>
      </c>
      <c r="S113" s="2">
        <f t="shared" si="14"/>
        <v>4.45</v>
      </c>
      <c r="T113" s="2"/>
      <c r="U113" s="2"/>
      <c r="Y113" s="8">
        <f t="shared" si="15"/>
        <v>4.0940483695652174</v>
      </c>
    </row>
    <row r="114" spans="1:25" x14ac:dyDescent="0.25">
      <c r="A114" s="34">
        <f t="shared" si="24"/>
        <v>106</v>
      </c>
      <c r="B114" s="35">
        <f t="shared" si="24"/>
        <v>101</v>
      </c>
      <c r="C114" s="42" t="s">
        <v>39</v>
      </c>
      <c r="D114" s="43">
        <v>29</v>
      </c>
      <c r="E114" s="43"/>
      <c r="F114" s="36">
        <f>186197/1000000</f>
        <v>0.186197</v>
      </c>
      <c r="G114" s="36">
        <f t="shared" si="25"/>
        <v>3.6680809000000002E-2</v>
      </c>
      <c r="H114" s="36">
        <f>73601/1000000</f>
        <v>7.3601E-2</v>
      </c>
      <c r="I114" s="37">
        <f t="shared" si="26"/>
        <v>1.104015E-2</v>
      </c>
      <c r="J114" s="32">
        <f t="shared" si="13"/>
        <v>0.16376222500000001</v>
      </c>
      <c r="K114" s="33">
        <f t="shared" si="16"/>
        <v>2.456433375E-2</v>
      </c>
      <c r="L114" s="33"/>
      <c r="O114" s="2">
        <f t="shared" si="18"/>
        <v>3.0667083333333334E-2</v>
      </c>
      <c r="P114" s="2">
        <f t="shared" si="19"/>
        <v>22.080300000000001</v>
      </c>
      <c r="Q114" s="7">
        <f t="shared" si="20"/>
        <v>100.00135869565219</v>
      </c>
      <c r="R114" s="2">
        <v>1.2</v>
      </c>
      <c r="S114" s="2">
        <f t="shared" si="14"/>
        <v>4.45</v>
      </c>
      <c r="T114" s="2"/>
      <c r="U114" s="2"/>
      <c r="Y114" s="8">
        <f t="shared" si="15"/>
        <v>3.5600483695652176</v>
      </c>
    </row>
    <row r="115" spans="1:25" x14ac:dyDescent="0.25">
      <c r="A115" s="34">
        <f t="shared" si="24"/>
        <v>107</v>
      </c>
      <c r="B115" s="35">
        <f t="shared" si="24"/>
        <v>102</v>
      </c>
      <c r="C115" s="42" t="s">
        <v>39</v>
      </c>
      <c r="D115" s="44" t="s">
        <v>63</v>
      </c>
      <c r="E115" s="43"/>
      <c r="F115" s="36">
        <v>0.21149999999999999</v>
      </c>
      <c r="G115" s="36">
        <v>4.1700000000000001E-2</v>
      </c>
      <c r="H115" s="36">
        <v>0.13800000000000001</v>
      </c>
      <c r="I115" s="37">
        <v>2.07E-2</v>
      </c>
      <c r="J115" s="32">
        <f t="shared" si="13"/>
        <v>0.25530000000000003</v>
      </c>
      <c r="K115" s="33">
        <f t="shared" si="16"/>
        <v>3.8295000000000003E-2</v>
      </c>
      <c r="L115" s="33"/>
      <c r="O115" s="2">
        <f t="shared" si="18"/>
        <v>5.7500000000000009E-2</v>
      </c>
      <c r="P115" s="2">
        <f t="shared" si="19"/>
        <v>41.400000000000013</v>
      </c>
      <c r="Q115" s="7">
        <f t="shared" si="20"/>
        <v>187.50000000000006</v>
      </c>
      <c r="R115" s="2">
        <v>1.2</v>
      </c>
      <c r="S115" s="2">
        <f t="shared" si="14"/>
        <v>3.7</v>
      </c>
      <c r="T115" s="2"/>
      <c r="U115" s="2"/>
      <c r="Y115" s="8">
        <f t="shared" si="15"/>
        <v>5.55</v>
      </c>
    </row>
    <row r="116" spans="1:25" x14ac:dyDescent="0.25">
      <c r="A116" s="34">
        <f t="shared" si="24"/>
        <v>108</v>
      </c>
      <c r="B116" s="35">
        <f t="shared" si="24"/>
        <v>103</v>
      </c>
      <c r="C116" s="42" t="s">
        <v>39</v>
      </c>
      <c r="D116" s="44" t="s">
        <v>64</v>
      </c>
      <c r="E116" s="43"/>
      <c r="F116" s="36">
        <f>186648/1000000</f>
        <v>0.18664800000000001</v>
      </c>
      <c r="G116" s="36">
        <f t="shared" ref="G116:G124" si="27">F116*0.197</f>
        <v>3.6769656000000005E-2</v>
      </c>
      <c r="H116" s="36">
        <f>78754/1000000</f>
        <v>7.8754000000000005E-2</v>
      </c>
      <c r="I116" s="37">
        <f t="shared" ref="I116:I124" si="28">H116*0.15</f>
        <v>1.18131E-2</v>
      </c>
      <c r="J116" s="32">
        <f t="shared" si="13"/>
        <v>0.17522765000000001</v>
      </c>
      <c r="K116" s="33">
        <f t="shared" si="16"/>
        <v>2.62841475E-2</v>
      </c>
      <c r="L116" s="33"/>
      <c r="O116" s="2">
        <f t="shared" si="18"/>
        <v>3.2814166666666672E-2</v>
      </c>
      <c r="P116" s="2">
        <f t="shared" si="19"/>
        <v>23.626200000000004</v>
      </c>
      <c r="Q116" s="7">
        <f t="shared" si="20"/>
        <v>107.00271739130437</v>
      </c>
      <c r="R116" s="2">
        <v>1.2</v>
      </c>
      <c r="S116" s="2">
        <f t="shared" si="14"/>
        <v>4.45</v>
      </c>
      <c r="T116" s="2"/>
      <c r="U116" s="2"/>
      <c r="Y116" s="8">
        <f t="shared" si="15"/>
        <v>3.8092967391304349</v>
      </c>
    </row>
    <row r="117" spans="1:25" x14ac:dyDescent="0.25">
      <c r="A117" s="34">
        <f t="shared" si="24"/>
        <v>109</v>
      </c>
      <c r="B117" s="35">
        <f t="shared" si="24"/>
        <v>104</v>
      </c>
      <c r="C117" s="42" t="s">
        <v>39</v>
      </c>
      <c r="D117" s="44" t="s">
        <v>38</v>
      </c>
      <c r="E117" s="43"/>
      <c r="F117" s="36">
        <f>184979/1000000</f>
        <v>0.184979</v>
      </c>
      <c r="G117" s="36">
        <f t="shared" si="27"/>
        <v>3.6440863000000004E-2</v>
      </c>
      <c r="H117" s="36">
        <f>78017/1000000</f>
        <v>7.8017000000000003E-2</v>
      </c>
      <c r="I117" s="37">
        <f t="shared" si="28"/>
        <v>1.1702550000000001E-2</v>
      </c>
      <c r="J117" s="32">
        <f t="shared" si="13"/>
        <v>0.17358782500000006</v>
      </c>
      <c r="K117" s="33">
        <f t="shared" si="16"/>
        <v>2.6038173750000008E-2</v>
      </c>
      <c r="L117" s="33"/>
      <c r="O117" s="2">
        <f t="shared" si="18"/>
        <v>3.2507083333333339E-2</v>
      </c>
      <c r="P117" s="2">
        <f t="shared" si="19"/>
        <v>23.405100000000004</v>
      </c>
      <c r="Q117" s="7">
        <f t="shared" si="20"/>
        <v>106.0013586956522</v>
      </c>
      <c r="R117" s="2">
        <v>1.2</v>
      </c>
      <c r="S117" s="2">
        <f t="shared" si="14"/>
        <v>4.45</v>
      </c>
      <c r="T117" s="2"/>
      <c r="U117" s="2"/>
      <c r="Y117" s="8">
        <f t="shared" si="15"/>
        <v>3.773648369565219</v>
      </c>
    </row>
    <row r="118" spans="1:25" x14ac:dyDescent="0.25">
      <c r="A118" s="34">
        <f t="shared" si="24"/>
        <v>110</v>
      </c>
      <c r="B118" s="35"/>
      <c r="C118" s="42" t="s">
        <v>39</v>
      </c>
      <c r="D118" s="35">
        <v>32</v>
      </c>
      <c r="E118" s="35"/>
      <c r="F118" s="36">
        <f>185278/1000000</f>
        <v>0.185278</v>
      </c>
      <c r="G118" s="36">
        <f t="shared" si="27"/>
        <v>3.6499766000000003E-2</v>
      </c>
      <c r="H118" s="36">
        <f>92000/1000000</f>
        <v>9.1999999999999998E-2</v>
      </c>
      <c r="I118" s="37">
        <f t="shared" si="28"/>
        <v>1.38E-2</v>
      </c>
      <c r="J118" s="32">
        <f t="shared" si="13"/>
        <v>0.20470000000000005</v>
      </c>
      <c r="K118" s="33">
        <f t="shared" si="16"/>
        <v>3.0705000000000007E-2</v>
      </c>
      <c r="L118" s="33"/>
      <c r="O118" s="2">
        <f t="shared" si="18"/>
        <v>3.8333333333333337E-2</v>
      </c>
      <c r="P118" s="2">
        <f t="shared" si="19"/>
        <v>27.600000000000005</v>
      </c>
      <c r="Q118" s="7">
        <f t="shared" si="20"/>
        <v>125.00000000000003</v>
      </c>
      <c r="R118" s="2">
        <v>1.2</v>
      </c>
      <c r="S118" s="2">
        <f t="shared" si="14"/>
        <v>4.45</v>
      </c>
      <c r="T118" s="2"/>
      <c r="U118" s="2"/>
      <c r="Y118" s="8">
        <f t="shared" si="15"/>
        <v>4.4500000000000011</v>
      </c>
    </row>
    <row r="119" spans="1:25" x14ac:dyDescent="0.25">
      <c r="A119" s="34">
        <f t="shared" si="24"/>
        <v>111</v>
      </c>
      <c r="B119" s="35">
        <f>B117+1</f>
        <v>105</v>
      </c>
      <c r="C119" s="42" t="s">
        <v>39</v>
      </c>
      <c r="D119" s="44" t="s">
        <v>65</v>
      </c>
      <c r="E119" s="43"/>
      <c r="F119" s="36">
        <f>149640/1000000</f>
        <v>0.14964</v>
      </c>
      <c r="G119" s="36">
        <f t="shared" si="27"/>
        <v>2.9479080000000001E-2</v>
      </c>
      <c r="H119" s="36">
        <f>73601/1000000</f>
        <v>7.3601E-2</v>
      </c>
      <c r="I119" s="37">
        <f t="shared" si="28"/>
        <v>1.104015E-2</v>
      </c>
      <c r="J119" s="32">
        <f t="shared" si="13"/>
        <v>0.16376222500000001</v>
      </c>
      <c r="K119" s="33">
        <f t="shared" si="16"/>
        <v>2.456433375E-2</v>
      </c>
      <c r="L119" s="33"/>
      <c r="O119" s="2">
        <f t="shared" si="18"/>
        <v>3.0667083333333334E-2</v>
      </c>
      <c r="P119" s="2">
        <f t="shared" si="19"/>
        <v>22.080300000000001</v>
      </c>
      <c r="Q119" s="7">
        <f t="shared" si="20"/>
        <v>100.00135869565219</v>
      </c>
      <c r="R119" s="2">
        <v>1.2</v>
      </c>
      <c r="S119" s="2">
        <f t="shared" si="14"/>
        <v>4.45</v>
      </c>
      <c r="T119" s="2"/>
      <c r="U119" s="2"/>
      <c r="Y119" s="8">
        <f t="shared" si="15"/>
        <v>3.5600483695652176</v>
      </c>
    </row>
    <row r="120" spans="1:25" x14ac:dyDescent="0.25">
      <c r="A120" s="34">
        <f t="shared" si="24"/>
        <v>112</v>
      </c>
      <c r="B120" s="35">
        <f t="shared" si="24"/>
        <v>106</v>
      </c>
      <c r="C120" s="42" t="s">
        <v>39</v>
      </c>
      <c r="D120" s="44" t="s">
        <v>66</v>
      </c>
      <c r="E120" s="43"/>
      <c r="F120" s="36">
        <f>214699/1000000</f>
        <v>0.214699</v>
      </c>
      <c r="G120" s="36">
        <f t="shared" si="27"/>
        <v>4.2295703000000004E-2</v>
      </c>
      <c r="H120" s="36">
        <f>74338/1000000</f>
        <v>7.4338000000000001E-2</v>
      </c>
      <c r="I120" s="37">
        <f t="shared" si="28"/>
        <v>1.11507E-2</v>
      </c>
      <c r="J120" s="32">
        <f t="shared" si="13"/>
        <v>0.16540205000000002</v>
      </c>
      <c r="K120" s="33">
        <f t="shared" si="16"/>
        <v>2.4810307500000003E-2</v>
      </c>
      <c r="L120" s="33"/>
      <c r="O120" s="2">
        <f t="shared" si="18"/>
        <v>3.0974166666666667E-2</v>
      </c>
      <c r="P120" s="2">
        <f t="shared" si="19"/>
        <v>22.301400000000001</v>
      </c>
      <c r="Q120" s="7">
        <f t="shared" si="20"/>
        <v>101.00271739130436</v>
      </c>
      <c r="R120" s="2">
        <v>1.2</v>
      </c>
      <c r="S120" s="2">
        <f t="shared" si="14"/>
        <v>4.45</v>
      </c>
      <c r="T120" s="2"/>
      <c r="U120" s="2"/>
      <c r="Y120" s="8">
        <f t="shared" si="15"/>
        <v>3.5956967391304353</v>
      </c>
    </row>
    <row r="121" spans="1:25" x14ac:dyDescent="0.25">
      <c r="A121" s="34">
        <f t="shared" si="24"/>
        <v>113</v>
      </c>
      <c r="B121" s="35">
        <f t="shared" si="24"/>
        <v>107</v>
      </c>
      <c r="C121" s="42" t="s">
        <v>39</v>
      </c>
      <c r="D121" s="44" t="s">
        <v>67</v>
      </c>
      <c r="E121" s="43"/>
      <c r="F121" s="36">
        <f>150108/1000000</f>
        <v>0.15010799999999999</v>
      </c>
      <c r="G121" s="36">
        <f t="shared" si="27"/>
        <v>2.9571276000000001E-2</v>
      </c>
      <c r="H121" s="36">
        <f>91262/1000000</f>
        <v>9.1261999999999996E-2</v>
      </c>
      <c r="I121" s="37">
        <f t="shared" si="28"/>
        <v>1.36893E-2</v>
      </c>
      <c r="J121" s="32">
        <f t="shared" si="13"/>
        <v>0.20305794999999999</v>
      </c>
      <c r="K121" s="33">
        <f t="shared" si="16"/>
        <v>3.0458692499999995E-2</v>
      </c>
      <c r="L121" s="33"/>
      <c r="O121" s="2">
        <f t="shared" si="18"/>
        <v>3.8025833333333335E-2</v>
      </c>
      <c r="P121" s="2">
        <f t="shared" si="19"/>
        <v>27.378599999999999</v>
      </c>
      <c r="Q121" s="7">
        <f t="shared" si="20"/>
        <v>123.99728260869564</v>
      </c>
      <c r="R121" s="2">
        <v>1.2</v>
      </c>
      <c r="S121" s="2">
        <f t="shared" si="14"/>
        <v>4.45</v>
      </c>
      <c r="T121" s="2"/>
      <c r="U121" s="2"/>
      <c r="Y121" s="8">
        <f t="shared" si="15"/>
        <v>4.4143032608695654</v>
      </c>
    </row>
    <row r="122" spans="1:25" x14ac:dyDescent="0.25">
      <c r="A122" s="34">
        <f t="shared" si="24"/>
        <v>114</v>
      </c>
      <c r="B122" s="35">
        <f t="shared" si="24"/>
        <v>108</v>
      </c>
      <c r="C122" s="42" t="s">
        <v>39</v>
      </c>
      <c r="D122" s="44" t="s">
        <v>68</v>
      </c>
      <c r="E122" s="43"/>
      <c r="F122" s="36">
        <f>178506/1000000</f>
        <v>0.178506</v>
      </c>
      <c r="G122" s="36">
        <f t="shared" si="27"/>
        <v>3.5165682000000004E-2</v>
      </c>
      <c r="H122" s="36">
        <f>73601/1000000</f>
        <v>7.3601E-2</v>
      </c>
      <c r="I122" s="37">
        <f t="shared" si="28"/>
        <v>1.104015E-2</v>
      </c>
      <c r="J122" s="32">
        <f t="shared" si="13"/>
        <v>0.16376222500000001</v>
      </c>
      <c r="K122" s="33">
        <f t="shared" si="16"/>
        <v>2.456433375E-2</v>
      </c>
      <c r="L122" s="33"/>
      <c r="O122" s="2">
        <f t="shared" si="18"/>
        <v>3.0667083333333334E-2</v>
      </c>
      <c r="P122" s="2">
        <f t="shared" si="19"/>
        <v>22.080300000000001</v>
      </c>
      <c r="Q122" s="7">
        <f t="shared" si="20"/>
        <v>100.00135869565219</v>
      </c>
      <c r="R122" s="2">
        <v>1.2</v>
      </c>
      <c r="S122" s="2">
        <f t="shared" si="14"/>
        <v>4.45</v>
      </c>
      <c r="T122" s="2"/>
      <c r="U122" s="2"/>
      <c r="Y122" s="8">
        <f t="shared" si="15"/>
        <v>3.5600483695652176</v>
      </c>
    </row>
    <row r="123" spans="1:25" x14ac:dyDescent="0.25">
      <c r="A123" s="34">
        <f t="shared" ref="A123:B138" si="29">A122+1</f>
        <v>115</v>
      </c>
      <c r="B123" s="35">
        <f t="shared" si="29"/>
        <v>109</v>
      </c>
      <c r="C123" s="42" t="s">
        <v>39</v>
      </c>
      <c r="D123" s="44" t="s">
        <v>69</v>
      </c>
      <c r="E123" s="43"/>
      <c r="F123" s="36">
        <f>199385/1000000</f>
        <v>0.19938500000000001</v>
      </c>
      <c r="G123" s="36">
        <f t="shared" si="27"/>
        <v>3.9278845E-2</v>
      </c>
      <c r="H123" s="36">
        <f>119966/1000000</f>
        <v>0.119966</v>
      </c>
      <c r="I123" s="37">
        <f t="shared" si="28"/>
        <v>1.7994900000000001E-2</v>
      </c>
      <c r="J123" s="32">
        <f t="shared" si="13"/>
        <v>0.2219371</v>
      </c>
      <c r="K123" s="33">
        <f t="shared" si="16"/>
        <v>3.3290565000000001E-2</v>
      </c>
      <c r="L123" s="33"/>
      <c r="O123" s="2">
        <f t="shared" si="18"/>
        <v>4.9985833333333334E-2</v>
      </c>
      <c r="P123" s="2">
        <f t="shared" si="19"/>
        <v>35.989799999999995</v>
      </c>
      <c r="Q123" s="7">
        <f t="shared" si="20"/>
        <v>162.99728260869563</v>
      </c>
      <c r="R123" s="2">
        <v>1.2</v>
      </c>
      <c r="S123" s="2">
        <f t="shared" si="14"/>
        <v>3.7</v>
      </c>
      <c r="T123" s="2"/>
      <c r="U123" s="2"/>
      <c r="Y123" s="8">
        <f t="shared" si="15"/>
        <v>4.8247195652173911</v>
      </c>
    </row>
    <row r="124" spans="1:25" x14ac:dyDescent="0.25">
      <c r="A124" s="34">
        <f t="shared" si="29"/>
        <v>116</v>
      </c>
      <c r="B124" s="35">
        <f t="shared" si="29"/>
        <v>110</v>
      </c>
      <c r="C124" s="42" t="s">
        <v>39</v>
      </c>
      <c r="D124" s="44" t="s">
        <v>70</v>
      </c>
      <c r="E124" s="43"/>
      <c r="F124" s="36">
        <f>196262/1000000</f>
        <v>0.19626199999999999</v>
      </c>
      <c r="G124" s="36">
        <f t="shared" si="27"/>
        <v>3.8663613999999999E-2</v>
      </c>
      <c r="H124" s="36">
        <f>110400/1000000</f>
        <v>0.1104</v>
      </c>
      <c r="I124" s="37">
        <f t="shared" si="28"/>
        <v>1.6559999999999998E-2</v>
      </c>
      <c r="J124" s="32">
        <f t="shared" si="13"/>
        <v>0.24564</v>
      </c>
      <c r="K124" s="33">
        <f t="shared" si="16"/>
        <v>3.6845999999999997E-2</v>
      </c>
      <c r="L124" s="33"/>
      <c r="O124" s="2">
        <f t="shared" si="18"/>
        <v>4.5999999999999999E-2</v>
      </c>
      <c r="P124" s="2">
        <f t="shared" si="19"/>
        <v>33.120000000000005</v>
      </c>
      <c r="Q124" s="7">
        <f t="shared" si="20"/>
        <v>150.00000000000003</v>
      </c>
      <c r="R124" s="2">
        <v>1.2</v>
      </c>
      <c r="S124" s="2">
        <f t="shared" si="14"/>
        <v>4.45</v>
      </c>
      <c r="T124" s="2"/>
      <c r="U124" s="2"/>
      <c r="Y124" s="8">
        <f t="shared" si="15"/>
        <v>5.34</v>
      </c>
    </row>
    <row r="125" spans="1:25" x14ac:dyDescent="0.25">
      <c r="A125" s="34">
        <f t="shared" si="29"/>
        <v>117</v>
      </c>
      <c r="B125" s="35">
        <f t="shared" si="29"/>
        <v>111</v>
      </c>
      <c r="C125" s="42" t="s">
        <v>39</v>
      </c>
      <c r="D125" s="44" t="s">
        <v>71</v>
      </c>
      <c r="E125" s="43"/>
      <c r="F125" s="36">
        <v>0.20449999999999999</v>
      </c>
      <c r="G125" s="36">
        <v>4.0300000000000002E-2</v>
      </c>
      <c r="H125" s="36">
        <v>9.1999999999999998E-2</v>
      </c>
      <c r="I125" s="37">
        <v>1.38E-2</v>
      </c>
      <c r="J125" s="32">
        <f t="shared" si="13"/>
        <v>0.20470000000000005</v>
      </c>
      <c r="K125" s="33">
        <f t="shared" si="16"/>
        <v>3.0705000000000007E-2</v>
      </c>
      <c r="L125" s="33"/>
      <c r="O125" s="2">
        <f t="shared" si="18"/>
        <v>3.8333333333333337E-2</v>
      </c>
      <c r="P125" s="2">
        <f t="shared" si="19"/>
        <v>27.600000000000005</v>
      </c>
      <c r="Q125" s="7">
        <f t="shared" si="20"/>
        <v>125.00000000000003</v>
      </c>
      <c r="R125" s="2">
        <v>1.2</v>
      </c>
      <c r="S125" s="2">
        <f t="shared" si="14"/>
        <v>4.45</v>
      </c>
      <c r="T125" s="2"/>
      <c r="U125" s="2"/>
      <c r="Y125" s="8">
        <f t="shared" si="15"/>
        <v>4.4500000000000011</v>
      </c>
    </row>
    <row r="126" spans="1:25" x14ac:dyDescent="0.25">
      <c r="A126" s="34">
        <f t="shared" si="29"/>
        <v>118</v>
      </c>
      <c r="B126" s="35">
        <f t="shared" si="29"/>
        <v>112</v>
      </c>
      <c r="C126" s="42" t="s">
        <v>39</v>
      </c>
      <c r="D126" s="44" t="s">
        <v>72</v>
      </c>
      <c r="E126" s="43"/>
      <c r="F126" s="36">
        <f>144347/1000000</f>
        <v>0.144347</v>
      </c>
      <c r="G126" s="36">
        <f t="shared" ref="G126:G161" si="30">F126*0.197</f>
        <v>2.8436359000000001E-2</v>
      </c>
      <c r="H126" s="36">
        <f>54464/1000000</f>
        <v>5.4463999999999999E-2</v>
      </c>
      <c r="I126" s="37">
        <f t="shared" ref="I126:I159" si="31">H126*0.15</f>
        <v>8.1695999999999991E-3</v>
      </c>
      <c r="J126" s="32">
        <f t="shared" si="13"/>
        <v>0.1211824</v>
      </c>
      <c r="K126" s="33">
        <f t="shared" si="16"/>
        <v>1.817736E-2</v>
      </c>
      <c r="L126" s="33"/>
      <c r="O126" s="2">
        <f t="shared" si="18"/>
        <v>2.2693333333333333E-2</v>
      </c>
      <c r="P126" s="2">
        <f t="shared" si="19"/>
        <v>16.339200000000002</v>
      </c>
      <c r="Q126" s="7">
        <f t="shared" si="20"/>
        <v>74.000000000000014</v>
      </c>
      <c r="R126" s="2">
        <v>1.2</v>
      </c>
      <c r="S126" s="2">
        <f t="shared" si="14"/>
        <v>4.45</v>
      </c>
      <c r="T126" s="2"/>
      <c r="U126" s="2"/>
      <c r="Y126" s="8">
        <f t="shared" si="15"/>
        <v>2.6343999999999999</v>
      </c>
    </row>
    <row r="127" spans="1:25" x14ac:dyDescent="0.25">
      <c r="A127" s="34">
        <f t="shared" si="29"/>
        <v>119</v>
      </c>
      <c r="B127" s="35">
        <f t="shared" si="29"/>
        <v>113</v>
      </c>
      <c r="C127" s="42" t="s">
        <v>39</v>
      </c>
      <c r="D127" s="44" t="s">
        <v>73</v>
      </c>
      <c r="E127" s="43"/>
      <c r="F127" s="36">
        <f>144564/1000000</f>
        <v>0.144564</v>
      </c>
      <c r="G127" s="36">
        <f t="shared" si="30"/>
        <v>2.8479108E-2</v>
      </c>
      <c r="H127" s="36">
        <f>57408/1000000</f>
        <v>5.7408000000000001E-2</v>
      </c>
      <c r="I127" s="37">
        <f t="shared" si="31"/>
        <v>8.6111999999999994E-3</v>
      </c>
      <c r="J127" s="32">
        <f t="shared" si="13"/>
        <v>0.12773280000000001</v>
      </c>
      <c r="K127" s="33">
        <f t="shared" si="16"/>
        <v>1.915992E-2</v>
      </c>
      <c r="L127" s="33"/>
      <c r="O127" s="2">
        <f t="shared" si="18"/>
        <v>2.392E-2</v>
      </c>
      <c r="P127" s="2">
        <f t="shared" si="19"/>
        <v>17.2224</v>
      </c>
      <c r="Q127" s="7">
        <f t="shared" si="20"/>
        <v>78</v>
      </c>
      <c r="R127" s="2">
        <v>1.2</v>
      </c>
      <c r="S127" s="2">
        <f t="shared" si="14"/>
        <v>4.45</v>
      </c>
      <c r="T127" s="2"/>
      <c r="U127" s="2"/>
      <c r="Y127" s="8">
        <f t="shared" si="15"/>
        <v>2.7768000000000002</v>
      </c>
    </row>
    <row r="128" spans="1:25" x14ac:dyDescent="0.25">
      <c r="A128" s="34">
        <f t="shared" si="29"/>
        <v>120</v>
      </c>
      <c r="B128" s="35">
        <f t="shared" si="29"/>
        <v>114</v>
      </c>
      <c r="C128" s="42" t="s">
        <v>39</v>
      </c>
      <c r="D128" s="44" t="s">
        <v>74</v>
      </c>
      <c r="E128" s="43"/>
      <c r="F128" s="36">
        <f>152704/1000000</f>
        <v>0.15270400000000001</v>
      </c>
      <c r="G128" s="36">
        <f t="shared" si="30"/>
        <v>3.0082688000000003E-2</v>
      </c>
      <c r="H128" s="36">
        <f>78017/1000000</f>
        <v>7.8017000000000003E-2</v>
      </c>
      <c r="I128" s="37">
        <f t="shared" si="31"/>
        <v>1.1702550000000001E-2</v>
      </c>
      <c r="J128" s="32">
        <f t="shared" si="13"/>
        <v>0.17358782500000006</v>
      </c>
      <c r="K128" s="33">
        <f t="shared" si="16"/>
        <v>2.6038173750000008E-2</v>
      </c>
      <c r="L128" s="33"/>
      <c r="O128" s="2">
        <f t="shared" si="18"/>
        <v>3.2507083333333339E-2</v>
      </c>
      <c r="P128" s="2">
        <f t="shared" si="19"/>
        <v>23.405100000000004</v>
      </c>
      <c r="Q128" s="7">
        <f t="shared" si="20"/>
        <v>106.0013586956522</v>
      </c>
      <c r="R128" s="2">
        <v>1.2</v>
      </c>
      <c r="S128" s="2">
        <f t="shared" si="14"/>
        <v>4.45</v>
      </c>
      <c r="T128" s="2"/>
      <c r="U128" s="2"/>
      <c r="Y128" s="8">
        <f t="shared" si="15"/>
        <v>3.773648369565219</v>
      </c>
    </row>
    <row r="129" spans="1:25" x14ac:dyDescent="0.25">
      <c r="A129" s="34">
        <f t="shared" si="29"/>
        <v>121</v>
      </c>
      <c r="B129" s="35">
        <f t="shared" si="29"/>
        <v>115</v>
      </c>
      <c r="C129" s="42" t="s">
        <v>39</v>
      </c>
      <c r="D129" s="44" t="s">
        <v>75</v>
      </c>
      <c r="E129" s="43"/>
      <c r="F129" s="36">
        <f>143179/1000000</f>
        <v>0.143179</v>
      </c>
      <c r="G129" s="36">
        <f t="shared" si="30"/>
        <v>2.8206263000000002E-2</v>
      </c>
      <c r="H129" s="36">
        <f>75074/1000000</f>
        <v>7.5074000000000002E-2</v>
      </c>
      <c r="I129" s="37">
        <f t="shared" si="31"/>
        <v>1.12611E-2</v>
      </c>
      <c r="J129" s="32">
        <f t="shared" si="13"/>
        <v>0.16703965000000001</v>
      </c>
      <c r="K129" s="33">
        <f t="shared" si="16"/>
        <v>2.5055947500000002E-2</v>
      </c>
      <c r="L129" s="33"/>
      <c r="O129" s="2">
        <f t="shared" si="18"/>
        <v>3.1280833333333334E-2</v>
      </c>
      <c r="P129" s="2">
        <f t="shared" si="19"/>
        <v>22.522199999999998</v>
      </c>
      <c r="Q129" s="7">
        <f t="shared" si="20"/>
        <v>102.00271739130434</v>
      </c>
      <c r="R129" s="2">
        <v>1.2</v>
      </c>
      <c r="S129" s="2">
        <f t="shared" si="14"/>
        <v>4.45</v>
      </c>
      <c r="T129" s="2"/>
      <c r="U129" s="2"/>
      <c r="Y129" s="8">
        <f t="shared" si="15"/>
        <v>3.6312967391304354</v>
      </c>
    </row>
    <row r="130" spans="1:25" x14ac:dyDescent="0.25">
      <c r="A130" s="34">
        <f t="shared" si="29"/>
        <v>122</v>
      </c>
      <c r="B130" s="35">
        <f t="shared" si="29"/>
        <v>116</v>
      </c>
      <c r="C130" s="42" t="s">
        <v>39</v>
      </c>
      <c r="D130" s="43">
        <v>48</v>
      </c>
      <c r="E130" s="43"/>
      <c r="F130" s="36">
        <f>156541/1000000</f>
        <v>0.15654100000000001</v>
      </c>
      <c r="G130" s="36">
        <f t="shared" si="30"/>
        <v>3.0838577000000002E-2</v>
      </c>
      <c r="H130" s="36">
        <f>91262/1000000</f>
        <v>9.1261999999999996E-2</v>
      </c>
      <c r="I130" s="37">
        <f t="shared" si="31"/>
        <v>1.36893E-2</v>
      </c>
      <c r="J130" s="32">
        <f t="shared" si="13"/>
        <v>0.20305794999999999</v>
      </c>
      <c r="K130" s="33">
        <f t="shared" si="16"/>
        <v>3.0458692499999995E-2</v>
      </c>
      <c r="L130" s="33"/>
      <c r="O130" s="2">
        <f t="shared" si="18"/>
        <v>3.8025833333333335E-2</v>
      </c>
      <c r="P130" s="2">
        <f t="shared" si="19"/>
        <v>27.378599999999999</v>
      </c>
      <c r="Q130" s="7">
        <f t="shared" si="20"/>
        <v>123.99728260869564</v>
      </c>
      <c r="R130" s="2">
        <v>1.2</v>
      </c>
      <c r="S130" s="2">
        <f t="shared" si="14"/>
        <v>4.45</v>
      </c>
      <c r="T130" s="2"/>
      <c r="U130" s="2"/>
      <c r="Y130" s="8">
        <f t="shared" si="15"/>
        <v>4.4143032608695654</v>
      </c>
    </row>
    <row r="131" spans="1:25" x14ac:dyDescent="0.25">
      <c r="A131" s="34">
        <f t="shared" si="29"/>
        <v>123</v>
      </c>
      <c r="B131" s="35">
        <f t="shared" si="29"/>
        <v>117</v>
      </c>
      <c r="C131" s="42" t="s">
        <v>39</v>
      </c>
      <c r="D131" s="43">
        <v>49</v>
      </c>
      <c r="E131" s="43"/>
      <c r="F131" s="36">
        <f>175286/1000000</f>
        <v>0.175286</v>
      </c>
      <c r="G131" s="36">
        <f t="shared" si="30"/>
        <v>3.4531342E-2</v>
      </c>
      <c r="H131" s="36">
        <f>69182/1000000</f>
        <v>6.9181999999999994E-2</v>
      </c>
      <c r="I131" s="37">
        <f t="shared" si="31"/>
        <v>1.0377299999999999E-2</v>
      </c>
      <c r="J131" s="32">
        <f t="shared" si="13"/>
        <v>0.15392994999999998</v>
      </c>
      <c r="K131" s="33">
        <f t="shared" si="16"/>
        <v>2.3089492499999996E-2</v>
      </c>
      <c r="L131" s="33"/>
      <c r="O131" s="2">
        <f t="shared" si="18"/>
        <v>2.8825833333333332E-2</v>
      </c>
      <c r="P131" s="2">
        <f t="shared" si="19"/>
        <v>20.7546</v>
      </c>
      <c r="Q131" s="7">
        <f t="shared" si="20"/>
        <v>93.997282608695656</v>
      </c>
      <c r="R131" s="2">
        <v>1.2</v>
      </c>
      <c r="S131" s="2">
        <f t="shared" si="14"/>
        <v>4.45</v>
      </c>
      <c r="T131" s="2"/>
      <c r="U131" s="2"/>
      <c r="Y131" s="8">
        <f t="shared" si="15"/>
        <v>3.3463032608695649</v>
      </c>
    </row>
    <row r="132" spans="1:25" x14ac:dyDescent="0.25">
      <c r="A132" s="34">
        <f t="shared" si="29"/>
        <v>124</v>
      </c>
      <c r="B132" s="35">
        <f t="shared" si="29"/>
        <v>118</v>
      </c>
      <c r="C132" s="42" t="s">
        <v>39</v>
      </c>
      <c r="D132" s="43">
        <v>50</v>
      </c>
      <c r="E132" s="43"/>
      <c r="F132" s="36">
        <f>223832/1000000</f>
        <v>0.223832</v>
      </c>
      <c r="G132" s="36">
        <f t="shared" si="30"/>
        <v>4.4094904000000004E-2</v>
      </c>
      <c r="H132" s="36">
        <f>99360/1000000</f>
        <v>9.9360000000000004E-2</v>
      </c>
      <c r="I132" s="37">
        <f t="shared" si="31"/>
        <v>1.4904000000000001E-2</v>
      </c>
      <c r="J132" s="32">
        <f t="shared" si="13"/>
        <v>0.22107600000000005</v>
      </c>
      <c r="K132" s="33">
        <f t="shared" si="16"/>
        <v>3.3161400000000008E-2</v>
      </c>
      <c r="L132" s="33"/>
      <c r="O132" s="2">
        <f t="shared" si="18"/>
        <v>4.1400000000000006E-2</v>
      </c>
      <c r="P132" s="2">
        <f t="shared" si="19"/>
        <v>29.808000000000003</v>
      </c>
      <c r="Q132" s="7">
        <f t="shared" si="20"/>
        <v>135.00000000000003</v>
      </c>
      <c r="R132" s="2">
        <v>1.2</v>
      </c>
      <c r="S132" s="2">
        <f t="shared" si="14"/>
        <v>4.45</v>
      </c>
      <c r="T132" s="2"/>
      <c r="U132" s="2"/>
      <c r="Y132" s="8">
        <f t="shared" si="15"/>
        <v>4.8060000000000009</v>
      </c>
    </row>
    <row r="133" spans="1:25" x14ac:dyDescent="0.25">
      <c r="A133" s="34">
        <f t="shared" si="29"/>
        <v>125</v>
      </c>
      <c r="B133" s="35"/>
      <c r="C133" s="42" t="s">
        <v>39</v>
      </c>
      <c r="D133" s="35">
        <v>55</v>
      </c>
      <c r="E133" s="35"/>
      <c r="F133" s="36">
        <f>149571/1000000</f>
        <v>0.14957100000000001</v>
      </c>
      <c r="G133" s="36">
        <f t="shared" si="30"/>
        <v>2.9465487000000002E-2</v>
      </c>
      <c r="H133" s="36">
        <f>25760/1000000</f>
        <v>2.5760000000000002E-2</v>
      </c>
      <c r="I133" s="37">
        <f t="shared" si="31"/>
        <v>3.8640000000000002E-3</v>
      </c>
      <c r="J133" s="32">
        <f t="shared" si="13"/>
        <v>5.7316000000000006E-2</v>
      </c>
      <c r="K133" s="33">
        <f t="shared" si="16"/>
        <v>8.5973999999999998E-3</v>
      </c>
      <c r="L133" s="33"/>
      <c r="O133" s="2">
        <f t="shared" si="18"/>
        <v>1.0733333333333334E-2</v>
      </c>
      <c r="P133" s="2">
        <f t="shared" si="19"/>
        <v>7.7280000000000015</v>
      </c>
      <c r="Q133" s="7">
        <f t="shared" si="20"/>
        <v>35.000000000000007</v>
      </c>
      <c r="R133" s="2">
        <v>1.2</v>
      </c>
      <c r="S133" s="2">
        <f t="shared" si="14"/>
        <v>4.45</v>
      </c>
      <c r="T133" s="2"/>
      <c r="U133" s="2"/>
      <c r="Y133" s="8">
        <f t="shared" si="15"/>
        <v>1.2460000000000002</v>
      </c>
    </row>
    <row r="134" spans="1:25" x14ac:dyDescent="0.25">
      <c r="A134" s="34">
        <f t="shared" si="29"/>
        <v>126</v>
      </c>
      <c r="B134" s="35">
        <f>B132+1</f>
        <v>119</v>
      </c>
      <c r="C134" s="42" t="s">
        <v>39</v>
      </c>
      <c r="D134" s="43" t="s">
        <v>76</v>
      </c>
      <c r="E134" s="43"/>
      <c r="F134" s="36">
        <f>176355/1000000</f>
        <v>0.17635500000000001</v>
      </c>
      <c r="G134" s="36">
        <f t="shared" si="30"/>
        <v>3.4741935000000002E-2</v>
      </c>
      <c r="H134" s="36">
        <f>69184/1000000</f>
        <v>6.9183999999999996E-2</v>
      </c>
      <c r="I134" s="37">
        <f t="shared" si="31"/>
        <v>1.0377599999999999E-2</v>
      </c>
      <c r="J134" s="32">
        <f t="shared" si="13"/>
        <v>0.1539344</v>
      </c>
      <c r="K134" s="33">
        <f t="shared" si="16"/>
        <v>2.3090159999999998E-2</v>
      </c>
      <c r="L134" s="33"/>
      <c r="O134" s="2">
        <f t="shared" si="18"/>
        <v>2.8826666666666667E-2</v>
      </c>
      <c r="P134" s="2">
        <f t="shared" si="19"/>
        <v>20.755200000000002</v>
      </c>
      <c r="Q134" s="7">
        <f t="shared" si="20"/>
        <v>94.000000000000014</v>
      </c>
      <c r="R134" s="2">
        <v>1.2</v>
      </c>
      <c r="S134" s="2">
        <f t="shared" si="14"/>
        <v>4.45</v>
      </c>
      <c r="T134" s="2"/>
      <c r="U134" s="2"/>
      <c r="Y134" s="8">
        <f t="shared" si="15"/>
        <v>3.3463999999999996</v>
      </c>
    </row>
    <row r="135" spans="1:25" x14ac:dyDescent="0.25">
      <c r="A135" s="34">
        <f t="shared" si="29"/>
        <v>127</v>
      </c>
      <c r="B135" s="35">
        <f>B134+1</f>
        <v>120</v>
      </c>
      <c r="C135" s="42" t="s">
        <v>39</v>
      </c>
      <c r="D135" s="43">
        <v>56</v>
      </c>
      <c r="E135" s="43"/>
      <c r="F135" s="36">
        <f>177339/1000000</f>
        <v>0.177339</v>
      </c>
      <c r="G135" s="36">
        <f t="shared" si="30"/>
        <v>3.4935782999999998E-2</v>
      </c>
      <c r="H135" s="36">
        <f>84641/1000000</f>
        <v>8.4640999999999994E-2</v>
      </c>
      <c r="I135" s="37">
        <f t="shared" si="31"/>
        <v>1.2696149999999998E-2</v>
      </c>
      <c r="J135" s="32">
        <f t="shared" si="13"/>
        <v>0.18832622499999999</v>
      </c>
      <c r="K135" s="33">
        <f t="shared" si="16"/>
        <v>2.8248933749999997E-2</v>
      </c>
      <c r="L135" s="33"/>
      <c r="O135" s="2">
        <f t="shared" si="18"/>
        <v>3.5267083333333331E-2</v>
      </c>
      <c r="P135" s="2">
        <f t="shared" si="19"/>
        <v>25.392299999999995</v>
      </c>
      <c r="Q135" s="7">
        <f t="shared" si="20"/>
        <v>115.00135869565216</v>
      </c>
      <c r="R135" s="2">
        <v>1.2</v>
      </c>
      <c r="S135" s="2">
        <f t="shared" si="14"/>
        <v>4.45</v>
      </c>
      <c r="T135" s="2"/>
      <c r="U135" s="2"/>
      <c r="Y135" s="8">
        <f t="shared" si="15"/>
        <v>4.0940483695652174</v>
      </c>
    </row>
    <row r="136" spans="1:25" x14ac:dyDescent="0.25">
      <c r="A136" s="34">
        <f t="shared" si="29"/>
        <v>128</v>
      </c>
      <c r="B136" s="35"/>
      <c r="C136" s="42" t="s">
        <v>39</v>
      </c>
      <c r="D136" s="35">
        <v>57</v>
      </c>
      <c r="E136" s="35"/>
      <c r="F136" s="36">
        <f>143331/1000000</f>
        <v>0.14333099999999999</v>
      </c>
      <c r="G136" s="36">
        <f t="shared" si="30"/>
        <v>2.8236206999999999E-2</v>
      </c>
      <c r="H136" s="36">
        <f>36800/1000000</f>
        <v>3.6799999999999999E-2</v>
      </c>
      <c r="I136" s="37">
        <f t="shared" si="31"/>
        <v>5.5199999999999997E-3</v>
      </c>
      <c r="J136" s="32">
        <f t="shared" si="13"/>
        <v>8.1880000000000008E-2</v>
      </c>
      <c r="K136" s="33">
        <f t="shared" si="16"/>
        <v>1.2282000000000001E-2</v>
      </c>
      <c r="L136" s="33"/>
      <c r="O136" s="2">
        <f t="shared" si="18"/>
        <v>1.5333333333333334E-2</v>
      </c>
      <c r="P136" s="2">
        <f t="shared" si="19"/>
        <v>11.04</v>
      </c>
      <c r="Q136" s="7">
        <f t="shared" si="20"/>
        <v>50</v>
      </c>
      <c r="R136" s="2">
        <v>1.2</v>
      </c>
      <c r="S136" s="2">
        <f t="shared" si="14"/>
        <v>4.45</v>
      </c>
      <c r="T136" s="2"/>
      <c r="U136" s="2"/>
      <c r="Y136" s="8">
        <f t="shared" si="15"/>
        <v>1.78</v>
      </c>
    </row>
    <row r="137" spans="1:25" x14ac:dyDescent="0.25">
      <c r="A137" s="34">
        <f t="shared" si="29"/>
        <v>129</v>
      </c>
      <c r="B137" s="35">
        <f>B135+1</f>
        <v>121</v>
      </c>
      <c r="C137" s="42" t="s">
        <v>39</v>
      </c>
      <c r="D137" s="35">
        <v>58</v>
      </c>
      <c r="E137" s="35"/>
      <c r="F137" s="36">
        <f>105097/1000000</f>
        <v>0.105097</v>
      </c>
      <c r="G137" s="36">
        <f t="shared" si="30"/>
        <v>2.0704109000000002E-2</v>
      </c>
      <c r="H137" s="36">
        <f>37540/1000000</f>
        <v>3.7539999999999997E-2</v>
      </c>
      <c r="I137" s="37">
        <f t="shared" si="31"/>
        <v>5.6309999999999997E-3</v>
      </c>
      <c r="J137" s="32">
        <f t="shared" ref="J137:J200" si="32">O137*R137*S137</f>
        <v>8.3526500000000004E-2</v>
      </c>
      <c r="K137" s="33">
        <f t="shared" si="16"/>
        <v>1.2528974999999999E-2</v>
      </c>
      <c r="L137" s="33"/>
      <c r="O137" s="2">
        <f t="shared" si="18"/>
        <v>1.5641666666666665E-2</v>
      </c>
      <c r="P137" s="2">
        <f t="shared" si="19"/>
        <v>11.261999999999999</v>
      </c>
      <c r="Q137" s="7">
        <f t="shared" si="20"/>
        <v>51.005434782608688</v>
      </c>
      <c r="R137" s="2">
        <v>1.2</v>
      </c>
      <c r="S137" s="2">
        <f t="shared" ref="S137:S200" si="33">IF(Q137&lt;=$AE$6,$AF$6,IF(Q137&lt;=$AE$7,$AF$7,IF(Q137&lt;=$AE$8,$AF$8,IF(Q137&lt;=$AE$9,$AF$9,IF(Q137&lt;=$AE$10,$AF$10,0)))))</f>
        <v>4.45</v>
      </c>
      <c r="T137" s="2"/>
      <c r="U137" s="2"/>
      <c r="Y137" s="8">
        <f t="shared" ref="Y137:Y200" si="34">J137/46*1000</f>
        <v>1.8157934782608698</v>
      </c>
    </row>
    <row r="138" spans="1:25" x14ac:dyDescent="0.25">
      <c r="A138" s="34">
        <f t="shared" si="29"/>
        <v>130</v>
      </c>
      <c r="B138" s="35">
        <f t="shared" si="29"/>
        <v>122</v>
      </c>
      <c r="C138" s="42" t="s">
        <v>39</v>
      </c>
      <c r="D138" s="43">
        <v>59</v>
      </c>
      <c r="E138" s="43"/>
      <c r="F138" s="36">
        <f>157023/1000000</f>
        <v>0.157023</v>
      </c>
      <c r="G138" s="36">
        <f t="shared" si="30"/>
        <v>3.0933531E-2</v>
      </c>
      <c r="H138" s="36">
        <f>75806/1000000</f>
        <v>7.5805999999999998E-2</v>
      </c>
      <c r="I138" s="37">
        <f t="shared" si="31"/>
        <v>1.13709E-2</v>
      </c>
      <c r="J138" s="32">
        <f t="shared" si="32"/>
        <v>0.16866834999999999</v>
      </c>
      <c r="K138" s="33">
        <f t="shared" ref="K138:K201" si="35">J138*0.15</f>
        <v>2.5300252499999999E-2</v>
      </c>
      <c r="L138" s="33"/>
      <c r="O138" s="2">
        <f t="shared" si="18"/>
        <v>3.1585833333333334E-2</v>
      </c>
      <c r="P138" s="2">
        <f t="shared" si="19"/>
        <v>22.741799999999998</v>
      </c>
      <c r="Q138" s="7">
        <f t="shared" si="20"/>
        <v>102.99728260869564</v>
      </c>
      <c r="R138" s="2">
        <v>1.2</v>
      </c>
      <c r="S138" s="2">
        <f t="shared" si="33"/>
        <v>4.45</v>
      </c>
      <c r="T138" s="2"/>
      <c r="U138" s="2"/>
      <c r="Y138" s="8">
        <f t="shared" si="34"/>
        <v>3.6667032608695651</v>
      </c>
    </row>
    <row r="139" spans="1:25" x14ac:dyDescent="0.25">
      <c r="A139" s="34">
        <f t="shared" ref="A139:B154" si="36">A138+1</f>
        <v>131</v>
      </c>
      <c r="B139" s="35">
        <f t="shared" si="36"/>
        <v>123</v>
      </c>
      <c r="C139" s="42" t="s">
        <v>39</v>
      </c>
      <c r="D139" s="43">
        <v>60</v>
      </c>
      <c r="E139" s="43"/>
      <c r="F139" s="36">
        <f>182232/1000000</f>
        <v>0.18223200000000001</v>
      </c>
      <c r="G139" s="36">
        <f t="shared" si="30"/>
        <v>3.5899704000000005E-2</v>
      </c>
      <c r="H139" s="36">
        <f>79486/1000000</f>
        <v>7.9486000000000001E-2</v>
      </c>
      <c r="I139" s="37">
        <f t="shared" si="31"/>
        <v>1.19229E-2</v>
      </c>
      <c r="J139" s="32">
        <f t="shared" si="32"/>
        <v>0.17685635000000005</v>
      </c>
      <c r="K139" s="33">
        <f t="shared" si="35"/>
        <v>2.6528452500000008E-2</v>
      </c>
      <c r="L139" s="33"/>
      <c r="O139" s="2">
        <f t="shared" ref="O139:O202" si="37">H139/2.4</f>
        <v>3.3119166666666672E-2</v>
      </c>
      <c r="P139" s="2">
        <f t="shared" ref="P139:P202" si="38">O139*24*30</f>
        <v>23.845800000000004</v>
      </c>
      <c r="Q139" s="7">
        <f t="shared" ref="Q139:Q202" si="39">P139/0.2208</f>
        <v>107.99728260869567</v>
      </c>
      <c r="R139" s="2">
        <v>1.2</v>
      </c>
      <c r="S139" s="2">
        <f t="shared" si="33"/>
        <v>4.45</v>
      </c>
      <c r="T139" s="2"/>
      <c r="U139" s="2"/>
      <c r="Y139" s="8">
        <f t="shared" si="34"/>
        <v>3.8447032608695664</v>
      </c>
    </row>
    <row r="140" spans="1:25" x14ac:dyDescent="0.25">
      <c r="A140" s="34">
        <f t="shared" si="36"/>
        <v>132</v>
      </c>
      <c r="B140" s="35">
        <f t="shared" si="36"/>
        <v>124</v>
      </c>
      <c r="C140" s="42" t="s">
        <v>39</v>
      </c>
      <c r="D140" s="43">
        <v>61</v>
      </c>
      <c r="E140" s="43"/>
      <c r="F140" s="36">
        <f>182232/1000000</f>
        <v>0.18223200000000001</v>
      </c>
      <c r="G140" s="36">
        <f t="shared" si="30"/>
        <v>3.5899704000000005E-2</v>
      </c>
      <c r="H140" s="36">
        <f>83167/1000000</f>
        <v>8.3167000000000005E-2</v>
      </c>
      <c r="I140" s="37">
        <f t="shared" si="31"/>
        <v>1.247505E-2</v>
      </c>
      <c r="J140" s="32">
        <f t="shared" si="32"/>
        <v>0.18504657500000002</v>
      </c>
      <c r="K140" s="33">
        <f t="shared" si="35"/>
        <v>2.7756986250000001E-2</v>
      </c>
      <c r="L140" s="33"/>
      <c r="O140" s="2">
        <f t="shared" si="37"/>
        <v>3.4652916666666672E-2</v>
      </c>
      <c r="P140" s="2">
        <f t="shared" si="38"/>
        <v>24.950100000000003</v>
      </c>
      <c r="Q140" s="7">
        <f t="shared" si="39"/>
        <v>112.99864130434784</v>
      </c>
      <c r="R140" s="2">
        <v>1.2</v>
      </c>
      <c r="S140" s="2">
        <f t="shared" si="33"/>
        <v>4.45</v>
      </c>
      <c r="T140" s="2"/>
      <c r="U140" s="2"/>
      <c r="Y140" s="8">
        <f t="shared" si="34"/>
        <v>4.022751630434783</v>
      </c>
    </row>
    <row r="141" spans="1:25" x14ac:dyDescent="0.25">
      <c r="A141" s="34">
        <f t="shared" si="36"/>
        <v>133</v>
      </c>
      <c r="B141" s="35">
        <f t="shared" si="36"/>
        <v>125</v>
      </c>
      <c r="C141" s="42" t="s">
        <v>39</v>
      </c>
      <c r="D141" s="43">
        <v>63</v>
      </c>
      <c r="E141" s="43"/>
      <c r="F141" s="36">
        <f>184783/1000000</f>
        <v>0.184783</v>
      </c>
      <c r="G141" s="36">
        <f t="shared" si="30"/>
        <v>3.6402251000000004E-2</v>
      </c>
      <c r="H141" s="36">
        <f>66240/1000000</f>
        <v>6.6239999999999993E-2</v>
      </c>
      <c r="I141" s="37">
        <f t="shared" si="31"/>
        <v>9.9359999999999987E-3</v>
      </c>
      <c r="J141" s="32">
        <f t="shared" si="32"/>
        <v>0.14738399999999999</v>
      </c>
      <c r="K141" s="33">
        <f t="shared" si="35"/>
        <v>2.2107599999999998E-2</v>
      </c>
      <c r="L141" s="33"/>
      <c r="O141" s="2">
        <f t="shared" si="37"/>
        <v>2.76E-2</v>
      </c>
      <c r="P141" s="2">
        <f t="shared" si="38"/>
        <v>19.872</v>
      </c>
      <c r="Q141" s="7">
        <f t="shared" si="39"/>
        <v>90</v>
      </c>
      <c r="R141" s="2">
        <v>1.2</v>
      </c>
      <c r="S141" s="2">
        <f t="shared" si="33"/>
        <v>4.45</v>
      </c>
      <c r="T141" s="2"/>
      <c r="U141" s="2"/>
      <c r="Y141" s="8">
        <f t="shared" si="34"/>
        <v>3.2039999999999997</v>
      </c>
    </row>
    <row r="142" spans="1:25" x14ac:dyDescent="0.25">
      <c r="A142" s="34">
        <f t="shared" si="36"/>
        <v>134</v>
      </c>
      <c r="B142" s="35">
        <f t="shared" si="36"/>
        <v>126</v>
      </c>
      <c r="C142" s="42" t="s">
        <v>39</v>
      </c>
      <c r="D142" s="43">
        <v>64</v>
      </c>
      <c r="E142" s="43"/>
      <c r="F142" s="36">
        <f>180040/1000000</f>
        <v>0.18004000000000001</v>
      </c>
      <c r="G142" s="36">
        <f t="shared" si="30"/>
        <v>3.546788E-2</v>
      </c>
      <c r="H142" s="36">
        <f>74338/1000000</f>
        <v>7.4338000000000001E-2</v>
      </c>
      <c r="I142" s="37">
        <f t="shared" si="31"/>
        <v>1.11507E-2</v>
      </c>
      <c r="J142" s="32">
        <f t="shared" si="32"/>
        <v>0.16540205000000002</v>
      </c>
      <c r="K142" s="33">
        <f t="shared" si="35"/>
        <v>2.4810307500000003E-2</v>
      </c>
      <c r="L142" s="33"/>
      <c r="O142" s="2">
        <f t="shared" si="37"/>
        <v>3.0974166666666667E-2</v>
      </c>
      <c r="P142" s="2">
        <f t="shared" si="38"/>
        <v>22.301400000000001</v>
      </c>
      <c r="Q142" s="7">
        <f t="shared" si="39"/>
        <v>101.00271739130436</v>
      </c>
      <c r="R142" s="2">
        <v>1.2</v>
      </c>
      <c r="S142" s="2">
        <f t="shared" si="33"/>
        <v>4.45</v>
      </c>
      <c r="T142" s="2"/>
      <c r="U142" s="2"/>
      <c r="Y142" s="8">
        <f t="shared" si="34"/>
        <v>3.5956967391304353</v>
      </c>
    </row>
    <row r="143" spans="1:25" x14ac:dyDescent="0.25">
      <c r="A143" s="34">
        <f t="shared" si="36"/>
        <v>135</v>
      </c>
      <c r="B143" s="35">
        <f t="shared" si="36"/>
        <v>127</v>
      </c>
      <c r="C143" s="42" t="s">
        <v>39</v>
      </c>
      <c r="D143" s="43">
        <v>65</v>
      </c>
      <c r="E143" s="43"/>
      <c r="F143" s="36">
        <f>180040/1000000</f>
        <v>0.18004000000000001</v>
      </c>
      <c r="G143" s="36">
        <f t="shared" si="30"/>
        <v>3.546788E-2</v>
      </c>
      <c r="H143" s="36">
        <f>71393/1000000</f>
        <v>7.1392999999999998E-2</v>
      </c>
      <c r="I143" s="37">
        <f t="shared" si="31"/>
        <v>1.070895E-2</v>
      </c>
      <c r="J143" s="32">
        <f t="shared" si="32"/>
        <v>0.15884942499999999</v>
      </c>
      <c r="K143" s="33">
        <f t="shared" si="35"/>
        <v>2.3827413749999998E-2</v>
      </c>
      <c r="L143" s="33"/>
      <c r="O143" s="2">
        <f t="shared" si="37"/>
        <v>2.9747083333333334E-2</v>
      </c>
      <c r="P143" s="2">
        <f t="shared" si="38"/>
        <v>21.417899999999999</v>
      </c>
      <c r="Q143" s="7">
        <f t="shared" si="39"/>
        <v>97.001358695652172</v>
      </c>
      <c r="R143" s="2">
        <v>1.2</v>
      </c>
      <c r="S143" s="2">
        <f t="shared" si="33"/>
        <v>4.45</v>
      </c>
      <c r="T143" s="2"/>
      <c r="U143" s="2"/>
      <c r="Y143" s="8">
        <f t="shared" si="34"/>
        <v>3.4532483695652174</v>
      </c>
    </row>
    <row r="144" spans="1:25" x14ac:dyDescent="0.25">
      <c r="A144" s="34">
        <f t="shared" si="36"/>
        <v>136</v>
      </c>
      <c r="B144" s="35">
        <f t="shared" si="36"/>
        <v>128</v>
      </c>
      <c r="C144" s="42" t="s">
        <v>39</v>
      </c>
      <c r="D144" s="43">
        <v>66</v>
      </c>
      <c r="E144" s="43">
        <v>1</v>
      </c>
      <c r="F144" s="36">
        <f>181701.5/1000000</f>
        <v>0.18170149999999999</v>
      </c>
      <c r="G144" s="36">
        <f t="shared" si="30"/>
        <v>3.5795195500000002E-2</v>
      </c>
      <c r="H144" s="36">
        <f>63663.5/1000000</f>
        <v>6.3663499999999998E-2</v>
      </c>
      <c r="I144" s="37">
        <f t="shared" si="31"/>
        <v>9.5495249999999997E-3</v>
      </c>
      <c r="J144" s="32">
        <f t="shared" si="32"/>
        <v>0.1416512875</v>
      </c>
      <c r="K144" s="33">
        <f t="shared" si="35"/>
        <v>2.1247693124999998E-2</v>
      </c>
      <c r="L144" s="33"/>
      <c r="O144" s="2">
        <f t="shared" si="37"/>
        <v>2.6526458333333332E-2</v>
      </c>
      <c r="P144" s="2">
        <f t="shared" si="38"/>
        <v>19.099049999999998</v>
      </c>
      <c r="Q144" s="7">
        <f t="shared" si="39"/>
        <v>86.499320652173907</v>
      </c>
      <c r="R144" s="2">
        <v>1.2</v>
      </c>
      <c r="S144" s="2">
        <f t="shared" si="33"/>
        <v>4.45</v>
      </c>
      <c r="T144" s="2"/>
      <c r="U144" s="2"/>
      <c r="Y144" s="8">
        <f t="shared" si="34"/>
        <v>3.0793758152173916</v>
      </c>
    </row>
    <row r="145" spans="1:25" x14ac:dyDescent="0.25">
      <c r="A145" s="34">
        <f t="shared" si="36"/>
        <v>137</v>
      </c>
      <c r="B145" s="35">
        <f t="shared" si="36"/>
        <v>129</v>
      </c>
      <c r="C145" s="42" t="s">
        <v>39</v>
      </c>
      <c r="D145" s="35">
        <v>66</v>
      </c>
      <c r="E145" s="35">
        <v>2</v>
      </c>
      <c r="F145" s="36">
        <f>181701.5/1000000</f>
        <v>0.18170149999999999</v>
      </c>
      <c r="G145" s="36">
        <f t="shared" si="30"/>
        <v>3.5795195500000002E-2</v>
      </c>
      <c r="H145" s="36">
        <f>63663.5/1000000</f>
        <v>6.3663499999999998E-2</v>
      </c>
      <c r="I145" s="37">
        <f t="shared" si="31"/>
        <v>9.5495249999999997E-3</v>
      </c>
      <c r="J145" s="32">
        <f t="shared" si="32"/>
        <v>0.1416512875</v>
      </c>
      <c r="K145" s="33">
        <f t="shared" si="35"/>
        <v>2.1247693124999998E-2</v>
      </c>
      <c r="L145" s="33"/>
      <c r="O145" s="2">
        <f t="shared" si="37"/>
        <v>2.6526458333333332E-2</v>
      </c>
      <c r="P145" s="2">
        <f t="shared" si="38"/>
        <v>19.099049999999998</v>
      </c>
      <c r="Q145" s="7">
        <f t="shared" si="39"/>
        <v>86.499320652173907</v>
      </c>
      <c r="R145" s="2">
        <v>1.2</v>
      </c>
      <c r="S145" s="2">
        <f t="shared" si="33"/>
        <v>4.45</v>
      </c>
      <c r="T145" s="2"/>
      <c r="U145" s="2"/>
      <c r="Y145" s="8">
        <f t="shared" si="34"/>
        <v>3.0793758152173916</v>
      </c>
    </row>
    <row r="146" spans="1:25" x14ac:dyDescent="0.25">
      <c r="A146" s="34">
        <f t="shared" si="36"/>
        <v>138</v>
      </c>
      <c r="B146" s="35"/>
      <c r="C146" s="42" t="s">
        <v>39</v>
      </c>
      <c r="D146" s="35">
        <v>69</v>
      </c>
      <c r="E146" s="35">
        <v>1</v>
      </c>
      <c r="F146" s="36">
        <f>411903/1000000/4</f>
        <v>0.10297575</v>
      </c>
      <c r="G146" s="36">
        <f t="shared" si="30"/>
        <v>2.0286222750000003E-2</v>
      </c>
      <c r="H146" s="36">
        <f>212000/1000000/2</f>
        <v>0.106</v>
      </c>
      <c r="I146" s="37">
        <f t="shared" si="31"/>
        <v>1.5899999999999997E-2</v>
      </c>
      <c r="J146" s="32">
        <f t="shared" si="32"/>
        <v>0.23585</v>
      </c>
      <c r="K146" s="33">
        <f t="shared" si="35"/>
        <v>3.5377499999999999E-2</v>
      </c>
      <c r="L146" s="33"/>
      <c r="O146" s="2">
        <f t="shared" si="37"/>
        <v>4.4166666666666667E-2</v>
      </c>
      <c r="P146" s="2">
        <f t="shared" si="38"/>
        <v>31.8</v>
      </c>
      <c r="Q146" s="7">
        <f t="shared" si="39"/>
        <v>144.02173913043478</v>
      </c>
      <c r="R146" s="2">
        <v>1.2</v>
      </c>
      <c r="S146" s="2">
        <f t="shared" si="33"/>
        <v>4.45</v>
      </c>
      <c r="T146" s="2"/>
      <c r="U146" s="2"/>
      <c r="Y146" s="8">
        <f t="shared" si="34"/>
        <v>5.1271739130434781</v>
      </c>
    </row>
    <row r="147" spans="1:25" x14ac:dyDescent="0.25">
      <c r="A147" s="34">
        <f t="shared" si="36"/>
        <v>139</v>
      </c>
      <c r="B147" s="35"/>
      <c r="C147" s="42" t="s">
        <v>39</v>
      </c>
      <c r="D147" s="35">
        <v>69</v>
      </c>
      <c r="E147" s="35">
        <v>2</v>
      </c>
      <c r="F147" s="36">
        <f>411903/1000000/4</f>
        <v>0.10297575</v>
      </c>
      <c r="G147" s="36">
        <f t="shared" si="30"/>
        <v>2.0286222750000003E-2</v>
      </c>
      <c r="H147" s="36">
        <f>212000/1000000/2</f>
        <v>0.106</v>
      </c>
      <c r="I147" s="37">
        <f t="shared" si="31"/>
        <v>1.5899999999999997E-2</v>
      </c>
      <c r="J147" s="32">
        <f t="shared" si="32"/>
        <v>0.23585</v>
      </c>
      <c r="K147" s="33">
        <f t="shared" si="35"/>
        <v>3.5377499999999999E-2</v>
      </c>
      <c r="L147" s="33"/>
      <c r="O147" s="2">
        <f t="shared" si="37"/>
        <v>4.4166666666666667E-2</v>
      </c>
      <c r="P147" s="2">
        <f t="shared" si="38"/>
        <v>31.8</v>
      </c>
      <c r="Q147" s="7">
        <f t="shared" si="39"/>
        <v>144.02173913043478</v>
      </c>
      <c r="R147" s="2">
        <v>1.2</v>
      </c>
      <c r="S147" s="2">
        <f t="shared" si="33"/>
        <v>4.45</v>
      </c>
      <c r="T147" s="2"/>
      <c r="U147" s="2"/>
      <c r="Y147" s="8">
        <f t="shared" si="34"/>
        <v>5.1271739130434781</v>
      </c>
    </row>
    <row r="148" spans="1:25" x14ac:dyDescent="0.25">
      <c r="A148" s="34">
        <f t="shared" si="36"/>
        <v>140</v>
      </c>
      <c r="B148" s="35"/>
      <c r="C148" s="42" t="s">
        <v>39</v>
      </c>
      <c r="D148" s="35">
        <v>69</v>
      </c>
      <c r="E148" s="35">
        <v>3</v>
      </c>
      <c r="F148" s="36">
        <f>411903/1000000/4</f>
        <v>0.10297575</v>
      </c>
      <c r="G148" s="36">
        <f t="shared" si="30"/>
        <v>2.0286222750000003E-2</v>
      </c>
      <c r="H148" s="36"/>
      <c r="I148" s="37"/>
      <c r="J148" s="32">
        <f t="shared" si="32"/>
        <v>0</v>
      </c>
      <c r="K148" s="33">
        <f t="shared" si="35"/>
        <v>0</v>
      </c>
      <c r="L148" s="33"/>
      <c r="O148" s="2">
        <f t="shared" si="37"/>
        <v>0</v>
      </c>
      <c r="P148" s="2">
        <f t="shared" si="38"/>
        <v>0</v>
      </c>
      <c r="Q148" s="7">
        <f t="shared" si="39"/>
        <v>0</v>
      </c>
      <c r="R148" s="2">
        <v>1.2</v>
      </c>
      <c r="S148" s="2">
        <f t="shared" si="33"/>
        <v>4.45</v>
      </c>
      <c r="T148" s="2"/>
      <c r="U148" s="2"/>
      <c r="Y148" s="8">
        <f t="shared" si="34"/>
        <v>0</v>
      </c>
    </row>
    <row r="149" spans="1:25" x14ac:dyDescent="0.25">
      <c r="A149" s="34">
        <f t="shared" si="36"/>
        <v>141</v>
      </c>
      <c r="B149" s="35"/>
      <c r="C149" s="42" t="s">
        <v>39</v>
      </c>
      <c r="D149" s="35">
        <v>69</v>
      </c>
      <c r="E149" s="35">
        <v>4</v>
      </c>
      <c r="F149" s="36">
        <f>411903/1000000/4</f>
        <v>0.10297575</v>
      </c>
      <c r="G149" s="36">
        <f t="shared" si="30"/>
        <v>2.0286222750000003E-2</v>
      </c>
      <c r="H149" s="36"/>
      <c r="I149" s="37"/>
      <c r="J149" s="32">
        <f t="shared" si="32"/>
        <v>0</v>
      </c>
      <c r="K149" s="33">
        <f t="shared" si="35"/>
        <v>0</v>
      </c>
      <c r="L149" s="33"/>
      <c r="O149" s="2">
        <f t="shared" si="37"/>
        <v>0</v>
      </c>
      <c r="P149" s="2">
        <f t="shared" si="38"/>
        <v>0</v>
      </c>
      <c r="Q149" s="7">
        <f t="shared" si="39"/>
        <v>0</v>
      </c>
      <c r="R149" s="2">
        <v>1.2</v>
      </c>
      <c r="S149" s="2">
        <f t="shared" si="33"/>
        <v>4.45</v>
      </c>
      <c r="T149" s="2"/>
      <c r="U149" s="2"/>
      <c r="Y149" s="8">
        <f t="shared" si="34"/>
        <v>0</v>
      </c>
    </row>
    <row r="150" spans="1:25" x14ac:dyDescent="0.25">
      <c r="A150" s="34">
        <f t="shared" si="36"/>
        <v>142</v>
      </c>
      <c r="B150" s="35">
        <f>B145+1</f>
        <v>130</v>
      </c>
      <c r="C150" s="42" t="s">
        <v>39</v>
      </c>
      <c r="D150" s="43">
        <v>70</v>
      </c>
      <c r="E150" s="43"/>
      <c r="F150" s="36">
        <f>166255/1000000</f>
        <v>0.16625499999999999</v>
      </c>
      <c r="G150" s="36">
        <f t="shared" si="30"/>
        <v>3.2752234999999998E-2</v>
      </c>
      <c r="H150" s="36">
        <f>68448/1000000</f>
        <v>6.8447999999999995E-2</v>
      </c>
      <c r="I150" s="37">
        <f t="shared" si="31"/>
        <v>1.0267199999999999E-2</v>
      </c>
      <c r="J150" s="32">
        <f t="shared" si="32"/>
        <v>0.15229679999999998</v>
      </c>
      <c r="K150" s="33">
        <f t="shared" si="35"/>
        <v>2.2844519999999997E-2</v>
      </c>
      <c r="L150" s="33"/>
      <c r="O150" s="2">
        <f t="shared" si="37"/>
        <v>2.852E-2</v>
      </c>
      <c r="P150" s="2">
        <f t="shared" si="38"/>
        <v>20.534399999999998</v>
      </c>
      <c r="Q150" s="7">
        <f t="shared" si="39"/>
        <v>92.999999999999986</v>
      </c>
      <c r="R150" s="2">
        <v>1.2</v>
      </c>
      <c r="S150" s="2">
        <f t="shared" si="33"/>
        <v>4.45</v>
      </c>
      <c r="T150" s="2"/>
      <c r="U150" s="2"/>
      <c r="Y150" s="8">
        <f t="shared" si="34"/>
        <v>3.3107999999999995</v>
      </c>
    </row>
    <row r="151" spans="1:25" x14ac:dyDescent="0.25">
      <c r="A151" s="34">
        <f t="shared" si="36"/>
        <v>143</v>
      </c>
      <c r="B151" s="35">
        <f t="shared" si="36"/>
        <v>131</v>
      </c>
      <c r="C151" s="42" t="s">
        <v>39</v>
      </c>
      <c r="D151" s="43">
        <v>71</v>
      </c>
      <c r="E151" s="43"/>
      <c r="F151" s="36">
        <f>186119/1000000</f>
        <v>0.18611900000000001</v>
      </c>
      <c r="G151" s="36">
        <f t="shared" si="30"/>
        <v>3.6665443000000006E-2</v>
      </c>
      <c r="H151" s="36">
        <f>57406/1000000</f>
        <v>5.7405999999999999E-2</v>
      </c>
      <c r="I151" s="37">
        <f t="shared" si="31"/>
        <v>8.6108999999999995E-3</v>
      </c>
      <c r="J151" s="32">
        <f t="shared" si="32"/>
        <v>0.12772834999999999</v>
      </c>
      <c r="K151" s="33">
        <f t="shared" si="35"/>
        <v>1.9159252499999998E-2</v>
      </c>
      <c r="L151" s="33"/>
      <c r="O151" s="2">
        <f t="shared" si="37"/>
        <v>2.3919166666666668E-2</v>
      </c>
      <c r="P151" s="2">
        <f t="shared" si="38"/>
        <v>17.221800000000002</v>
      </c>
      <c r="Q151" s="7">
        <f t="shared" si="39"/>
        <v>77.997282608695656</v>
      </c>
      <c r="R151" s="2">
        <v>1.2</v>
      </c>
      <c r="S151" s="2">
        <f t="shared" si="33"/>
        <v>4.45</v>
      </c>
      <c r="T151" s="2"/>
      <c r="U151" s="2"/>
      <c r="Y151" s="8">
        <f t="shared" si="34"/>
        <v>2.776703260869565</v>
      </c>
    </row>
    <row r="152" spans="1:25" x14ac:dyDescent="0.25">
      <c r="A152" s="34">
        <f t="shared" si="36"/>
        <v>144</v>
      </c>
      <c r="B152" s="35">
        <f t="shared" si="36"/>
        <v>132</v>
      </c>
      <c r="C152" s="42" t="s">
        <v>39</v>
      </c>
      <c r="D152" s="43">
        <v>72</v>
      </c>
      <c r="E152" s="43"/>
      <c r="F152" s="36">
        <f>186948/1000000</f>
        <v>0.186948</v>
      </c>
      <c r="G152" s="36">
        <f t="shared" si="30"/>
        <v>3.6828756000000004E-2</v>
      </c>
      <c r="H152" s="36">
        <f>57408/1000000</f>
        <v>5.7408000000000001E-2</v>
      </c>
      <c r="I152" s="37">
        <f t="shared" si="31"/>
        <v>8.6111999999999994E-3</v>
      </c>
      <c r="J152" s="32">
        <f t="shared" si="32"/>
        <v>0.12773280000000001</v>
      </c>
      <c r="K152" s="33">
        <f t="shared" si="35"/>
        <v>1.915992E-2</v>
      </c>
      <c r="L152" s="33"/>
      <c r="O152" s="2">
        <f t="shared" si="37"/>
        <v>2.392E-2</v>
      </c>
      <c r="P152" s="2">
        <f t="shared" si="38"/>
        <v>17.2224</v>
      </c>
      <c r="Q152" s="7">
        <f t="shared" si="39"/>
        <v>78</v>
      </c>
      <c r="R152" s="2">
        <v>1.2</v>
      </c>
      <c r="S152" s="2">
        <f t="shared" si="33"/>
        <v>4.45</v>
      </c>
      <c r="T152" s="2"/>
      <c r="U152" s="2"/>
      <c r="Y152" s="8">
        <f t="shared" si="34"/>
        <v>2.7768000000000002</v>
      </c>
    </row>
    <row r="153" spans="1:25" x14ac:dyDescent="0.25">
      <c r="A153" s="34">
        <f t="shared" si="36"/>
        <v>145</v>
      </c>
      <c r="B153" s="35">
        <f t="shared" si="36"/>
        <v>133</v>
      </c>
      <c r="C153" s="42" t="s">
        <v>39</v>
      </c>
      <c r="D153" s="43" t="s">
        <v>77</v>
      </c>
      <c r="E153" s="43">
        <v>1</v>
      </c>
      <c r="F153" s="36">
        <f>212649/1000000</f>
        <v>0.212649</v>
      </c>
      <c r="G153" s="36">
        <f t="shared" si="30"/>
        <v>4.1891853E-2</v>
      </c>
      <c r="H153" s="36">
        <f>89792/1000000</f>
        <v>8.9791999999999997E-2</v>
      </c>
      <c r="I153" s="37">
        <f t="shared" si="31"/>
        <v>1.34688E-2</v>
      </c>
      <c r="J153" s="32">
        <f t="shared" si="32"/>
        <v>0.1997872</v>
      </c>
      <c r="K153" s="33">
        <f t="shared" si="35"/>
        <v>2.9968079999999998E-2</v>
      </c>
      <c r="L153" s="33"/>
      <c r="O153" s="2">
        <f t="shared" si="37"/>
        <v>3.7413333333333333E-2</v>
      </c>
      <c r="P153" s="2">
        <f t="shared" si="38"/>
        <v>26.937600000000003</v>
      </c>
      <c r="Q153" s="7">
        <f t="shared" si="39"/>
        <v>122.00000000000001</v>
      </c>
      <c r="R153" s="2">
        <v>1.2</v>
      </c>
      <c r="S153" s="2">
        <f t="shared" si="33"/>
        <v>4.45</v>
      </c>
      <c r="T153" s="2"/>
      <c r="U153" s="2"/>
      <c r="Y153" s="8">
        <f t="shared" si="34"/>
        <v>4.3432000000000004</v>
      </c>
    </row>
    <row r="154" spans="1:25" x14ac:dyDescent="0.25">
      <c r="A154" s="34">
        <f t="shared" si="36"/>
        <v>146</v>
      </c>
      <c r="B154" s="35">
        <f t="shared" si="36"/>
        <v>134</v>
      </c>
      <c r="C154" s="42" t="s">
        <v>39</v>
      </c>
      <c r="D154" s="35" t="s">
        <v>77</v>
      </c>
      <c r="E154" s="35">
        <v>2</v>
      </c>
      <c r="F154" s="36">
        <f>212649/1000000</f>
        <v>0.212649</v>
      </c>
      <c r="G154" s="36">
        <f t="shared" si="30"/>
        <v>4.1891853E-2</v>
      </c>
      <c r="H154" s="36">
        <f>89792/1000000</f>
        <v>8.9791999999999997E-2</v>
      </c>
      <c r="I154" s="37">
        <f t="shared" si="31"/>
        <v>1.34688E-2</v>
      </c>
      <c r="J154" s="32">
        <f t="shared" si="32"/>
        <v>0.1997872</v>
      </c>
      <c r="K154" s="33">
        <f t="shared" si="35"/>
        <v>2.9968079999999998E-2</v>
      </c>
      <c r="L154" s="33"/>
      <c r="O154" s="2">
        <f t="shared" si="37"/>
        <v>3.7413333333333333E-2</v>
      </c>
      <c r="P154" s="2">
        <f t="shared" si="38"/>
        <v>26.937600000000003</v>
      </c>
      <c r="Q154" s="7">
        <f t="shared" si="39"/>
        <v>122.00000000000001</v>
      </c>
      <c r="R154" s="2">
        <v>1.2</v>
      </c>
      <c r="S154" s="2">
        <f t="shared" si="33"/>
        <v>4.45</v>
      </c>
      <c r="T154" s="2"/>
      <c r="U154" s="2"/>
      <c r="Y154" s="8">
        <f t="shared" si="34"/>
        <v>4.3432000000000004</v>
      </c>
    </row>
    <row r="155" spans="1:25" x14ac:dyDescent="0.25">
      <c r="A155" s="34">
        <f t="shared" ref="A155:B170" si="40">A154+1</f>
        <v>147</v>
      </c>
      <c r="B155" s="35">
        <f t="shared" si="40"/>
        <v>135</v>
      </c>
      <c r="C155" s="42" t="s">
        <v>39</v>
      </c>
      <c r="D155" s="43">
        <v>73</v>
      </c>
      <c r="E155" s="43">
        <v>1</v>
      </c>
      <c r="F155" s="36">
        <f>203970/1000000</f>
        <v>0.20397000000000001</v>
      </c>
      <c r="G155" s="36">
        <f t="shared" si="30"/>
        <v>4.0182090000000004E-2</v>
      </c>
      <c r="H155" s="36">
        <f>94577/1000000*2</f>
        <v>0.18915399999999999</v>
      </c>
      <c r="I155" s="37">
        <f t="shared" si="31"/>
        <v>2.8373099999999998E-2</v>
      </c>
      <c r="J155" s="32">
        <f t="shared" si="32"/>
        <v>0.33574835000000003</v>
      </c>
      <c r="K155" s="33">
        <f t="shared" si="35"/>
        <v>5.0362252500000003E-2</v>
      </c>
      <c r="L155" s="33"/>
      <c r="O155" s="2">
        <f t="shared" si="37"/>
        <v>7.8814166666666671E-2</v>
      </c>
      <c r="P155" s="2">
        <f t="shared" si="38"/>
        <v>56.746200000000002</v>
      </c>
      <c r="Q155" s="7">
        <f t="shared" si="39"/>
        <v>257.00271739130437</v>
      </c>
      <c r="R155" s="2">
        <v>1.2</v>
      </c>
      <c r="S155" s="2">
        <f t="shared" si="33"/>
        <v>3.55</v>
      </c>
      <c r="T155" s="2"/>
      <c r="U155" s="2"/>
      <c r="Y155" s="8">
        <f t="shared" si="34"/>
        <v>7.298877173913044</v>
      </c>
    </row>
    <row r="156" spans="1:25" x14ac:dyDescent="0.25">
      <c r="A156" s="34">
        <f t="shared" si="40"/>
        <v>148</v>
      </c>
      <c r="B156" s="35">
        <f t="shared" si="40"/>
        <v>136</v>
      </c>
      <c r="C156" s="42" t="s">
        <v>39</v>
      </c>
      <c r="D156" s="35">
        <v>73</v>
      </c>
      <c r="E156" s="35">
        <v>2</v>
      </c>
      <c r="F156" s="36">
        <f>203970/1000000</f>
        <v>0.20397000000000001</v>
      </c>
      <c r="G156" s="36">
        <f t="shared" si="30"/>
        <v>4.0182090000000004E-2</v>
      </c>
      <c r="H156" s="36">
        <v>0</v>
      </c>
      <c r="I156" s="37">
        <f t="shared" si="31"/>
        <v>0</v>
      </c>
      <c r="J156" s="32">
        <f t="shared" si="32"/>
        <v>0</v>
      </c>
      <c r="K156" s="33">
        <f t="shared" si="35"/>
        <v>0</v>
      </c>
      <c r="L156" s="33"/>
      <c r="O156" s="2">
        <f t="shared" si="37"/>
        <v>0</v>
      </c>
      <c r="P156" s="2">
        <f t="shared" si="38"/>
        <v>0</v>
      </c>
      <c r="Q156" s="7">
        <f t="shared" si="39"/>
        <v>0</v>
      </c>
      <c r="R156" s="2">
        <v>1.2</v>
      </c>
      <c r="S156" s="2">
        <f t="shared" si="33"/>
        <v>4.45</v>
      </c>
      <c r="T156" s="2"/>
      <c r="U156" s="2"/>
      <c r="Y156" s="8">
        <f t="shared" si="34"/>
        <v>0</v>
      </c>
    </row>
    <row r="157" spans="1:25" x14ac:dyDescent="0.25">
      <c r="A157" s="34">
        <f t="shared" si="40"/>
        <v>149</v>
      </c>
      <c r="B157" s="35">
        <f t="shared" si="40"/>
        <v>137</v>
      </c>
      <c r="C157" s="42" t="s">
        <v>39</v>
      </c>
      <c r="D157" s="43">
        <v>79</v>
      </c>
      <c r="E157" s="43"/>
      <c r="F157" s="36">
        <f>162594/1000000</f>
        <v>0.16259399999999999</v>
      </c>
      <c r="G157" s="36">
        <f t="shared" si="30"/>
        <v>3.2031018000000001E-2</v>
      </c>
      <c r="H157" s="36">
        <f>52994/1000000</f>
        <v>5.2993999999999999E-2</v>
      </c>
      <c r="I157" s="37">
        <f t="shared" si="31"/>
        <v>7.9490999999999989E-3</v>
      </c>
      <c r="J157" s="32">
        <f t="shared" si="32"/>
        <v>0.11791165000000001</v>
      </c>
      <c r="K157" s="33">
        <f t="shared" si="35"/>
        <v>1.7686747499999999E-2</v>
      </c>
      <c r="L157" s="33"/>
      <c r="O157" s="2">
        <f t="shared" si="37"/>
        <v>2.2080833333333334E-2</v>
      </c>
      <c r="P157" s="2">
        <f t="shared" si="38"/>
        <v>15.898200000000003</v>
      </c>
      <c r="Q157" s="7">
        <f t="shared" si="39"/>
        <v>72.002717391304358</v>
      </c>
      <c r="R157" s="2">
        <v>1.2</v>
      </c>
      <c r="S157" s="2">
        <f t="shared" si="33"/>
        <v>4.45</v>
      </c>
      <c r="T157" s="2"/>
      <c r="U157" s="2"/>
      <c r="Y157" s="8">
        <f t="shared" si="34"/>
        <v>2.5632967391304349</v>
      </c>
    </row>
    <row r="158" spans="1:25" x14ac:dyDescent="0.25">
      <c r="A158" s="34">
        <f t="shared" si="40"/>
        <v>150</v>
      </c>
      <c r="B158" s="35">
        <f t="shared" si="40"/>
        <v>138</v>
      </c>
      <c r="C158" s="42" t="s">
        <v>39</v>
      </c>
      <c r="D158" s="43">
        <v>80</v>
      </c>
      <c r="E158" s="43"/>
      <c r="F158" s="36">
        <f>159878/1000000</f>
        <v>0.15987799999999999</v>
      </c>
      <c r="G158" s="36">
        <f t="shared" si="30"/>
        <v>3.1495966E-2</v>
      </c>
      <c r="H158" s="36">
        <f>54463/1000000</f>
        <v>5.4462999999999998E-2</v>
      </c>
      <c r="I158" s="37">
        <f t="shared" si="31"/>
        <v>8.16945E-3</v>
      </c>
      <c r="J158" s="32">
        <f t="shared" si="32"/>
        <v>0.121180175</v>
      </c>
      <c r="K158" s="33">
        <f t="shared" si="35"/>
        <v>1.8177026249999999E-2</v>
      </c>
      <c r="L158" s="33"/>
      <c r="O158" s="2">
        <f t="shared" si="37"/>
        <v>2.2692916666666667E-2</v>
      </c>
      <c r="P158" s="2">
        <f t="shared" si="38"/>
        <v>16.338899999999999</v>
      </c>
      <c r="Q158" s="7">
        <f t="shared" si="39"/>
        <v>73.998641304347828</v>
      </c>
      <c r="R158" s="2">
        <v>1.2</v>
      </c>
      <c r="S158" s="2">
        <f t="shared" si="33"/>
        <v>4.45</v>
      </c>
      <c r="T158" s="2"/>
      <c r="U158" s="2"/>
      <c r="Y158" s="8">
        <f t="shared" si="34"/>
        <v>2.6343516304347827</v>
      </c>
    </row>
    <row r="159" spans="1:25" x14ac:dyDescent="0.25">
      <c r="A159" s="34">
        <f t="shared" si="40"/>
        <v>151</v>
      </c>
      <c r="B159" s="35">
        <f t="shared" si="40"/>
        <v>139</v>
      </c>
      <c r="C159" s="42" t="s">
        <v>39</v>
      </c>
      <c r="D159" s="43">
        <v>81</v>
      </c>
      <c r="E159" s="43"/>
      <c r="F159" s="36">
        <f>163019/1000000</f>
        <v>0.163019</v>
      </c>
      <c r="G159" s="36">
        <f t="shared" si="30"/>
        <v>3.2114743000000001E-2</v>
      </c>
      <c r="H159" s="36">
        <f>58142/1000000</f>
        <v>5.8141999999999999E-2</v>
      </c>
      <c r="I159" s="37">
        <f t="shared" si="31"/>
        <v>8.7212999999999995E-3</v>
      </c>
      <c r="J159" s="32">
        <f t="shared" si="32"/>
        <v>0.12936595000000001</v>
      </c>
      <c r="K159" s="33">
        <f t="shared" si="35"/>
        <v>1.94048925E-2</v>
      </c>
      <c r="L159" s="33"/>
      <c r="O159" s="2">
        <f t="shared" si="37"/>
        <v>2.4225833333333335E-2</v>
      </c>
      <c r="P159" s="2">
        <f t="shared" si="38"/>
        <v>17.442600000000002</v>
      </c>
      <c r="Q159" s="7">
        <f t="shared" si="39"/>
        <v>78.99728260869567</v>
      </c>
      <c r="R159" s="2">
        <v>1.2</v>
      </c>
      <c r="S159" s="2">
        <f t="shared" si="33"/>
        <v>4.45</v>
      </c>
      <c r="T159" s="2"/>
      <c r="U159" s="2"/>
      <c r="Y159" s="8">
        <f t="shared" si="34"/>
        <v>2.8123032608695655</v>
      </c>
    </row>
    <row r="160" spans="1:25" x14ac:dyDescent="0.25">
      <c r="A160" s="34">
        <f t="shared" si="40"/>
        <v>152</v>
      </c>
      <c r="B160" s="35"/>
      <c r="C160" s="42" t="s">
        <v>39</v>
      </c>
      <c r="D160" s="35" t="s">
        <v>78</v>
      </c>
      <c r="E160" s="35"/>
      <c r="F160" s="36">
        <f>186812/1000000</f>
        <v>0.18681200000000001</v>
      </c>
      <c r="G160" s="36">
        <f t="shared" si="30"/>
        <v>3.6801964E-2</v>
      </c>
      <c r="H160" s="36">
        <f>83168/1000000</f>
        <v>8.3168000000000006E-2</v>
      </c>
      <c r="I160" s="37">
        <f>H160*0.15</f>
        <v>1.2475200000000001E-2</v>
      </c>
      <c r="J160" s="32">
        <f t="shared" si="32"/>
        <v>0.18504880000000001</v>
      </c>
      <c r="K160" s="33">
        <f t="shared" si="35"/>
        <v>2.7757320000000002E-2</v>
      </c>
      <c r="L160" s="33"/>
      <c r="O160" s="2">
        <f t="shared" si="37"/>
        <v>3.4653333333333335E-2</v>
      </c>
      <c r="P160" s="2">
        <f t="shared" si="38"/>
        <v>24.950399999999998</v>
      </c>
      <c r="Q160" s="7">
        <f t="shared" si="39"/>
        <v>113</v>
      </c>
      <c r="R160" s="2">
        <v>1.2</v>
      </c>
      <c r="S160" s="2">
        <f t="shared" si="33"/>
        <v>4.45</v>
      </c>
      <c r="T160" s="2"/>
      <c r="U160" s="2"/>
      <c r="Y160" s="8">
        <f t="shared" si="34"/>
        <v>4.0228000000000002</v>
      </c>
    </row>
    <row r="161" spans="1:25" x14ac:dyDescent="0.25">
      <c r="A161" s="34">
        <f t="shared" si="40"/>
        <v>153</v>
      </c>
      <c r="B161" s="35"/>
      <c r="C161" s="42" t="s">
        <v>39</v>
      </c>
      <c r="D161" s="35" t="s">
        <v>79</v>
      </c>
      <c r="E161" s="35"/>
      <c r="F161" s="36">
        <f>350990/1000000</f>
        <v>0.35099000000000002</v>
      </c>
      <c r="G161" s="36">
        <f t="shared" si="30"/>
        <v>6.914503000000001E-2</v>
      </c>
      <c r="H161" s="36">
        <f>170752/1000000</f>
        <v>0.17075199999999999</v>
      </c>
      <c r="I161" s="37">
        <f>H161*0.15</f>
        <v>2.5612799999999998E-2</v>
      </c>
      <c r="J161" s="32">
        <f t="shared" si="32"/>
        <v>0.31589119999999998</v>
      </c>
      <c r="K161" s="33">
        <f t="shared" si="35"/>
        <v>4.7383679999999997E-2</v>
      </c>
      <c r="L161" s="33"/>
      <c r="O161" s="2">
        <f t="shared" si="37"/>
        <v>7.1146666666666664E-2</v>
      </c>
      <c r="P161" s="2">
        <f t="shared" si="38"/>
        <v>51.2256</v>
      </c>
      <c r="Q161" s="7">
        <f t="shared" si="39"/>
        <v>232</v>
      </c>
      <c r="R161" s="2">
        <v>1.2</v>
      </c>
      <c r="S161" s="2">
        <f t="shared" si="33"/>
        <v>3.7</v>
      </c>
      <c r="T161" s="2"/>
      <c r="U161" s="2"/>
      <c r="Y161" s="8">
        <f t="shared" si="34"/>
        <v>6.8671999999999995</v>
      </c>
    </row>
    <row r="162" spans="1:25" x14ac:dyDescent="0.25">
      <c r="A162" s="34">
        <f t="shared" si="40"/>
        <v>154</v>
      </c>
      <c r="B162" s="35">
        <f>B159+1</f>
        <v>140</v>
      </c>
      <c r="C162" s="42" t="s">
        <v>80</v>
      </c>
      <c r="D162" s="43">
        <v>1</v>
      </c>
      <c r="E162" s="43">
        <v>1</v>
      </c>
      <c r="F162" s="36">
        <v>0.18379999999999999</v>
      </c>
      <c r="G162" s="36">
        <v>3.6200000000000003E-2</v>
      </c>
      <c r="H162" s="36">
        <v>8.3000000000000004E-2</v>
      </c>
      <c r="I162" s="37">
        <v>1.2500000000000001E-2</v>
      </c>
      <c r="J162" s="32">
        <f t="shared" si="32"/>
        <v>0.18467500000000001</v>
      </c>
      <c r="K162" s="33">
        <f t="shared" si="35"/>
        <v>2.770125E-2</v>
      </c>
      <c r="L162" s="33"/>
      <c r="O162" s="2">
        <f t="shared" si="37"/>
        <v>3.4583333333333334E-2</v>
      </c>
      <c r="P162" s="2">
        <f t="shared" si="38"/>
        <v>24.900000000000002</v>
      </c>
      <c r="Q162" s="7">
        <f t="shared" si="39"/>
        <v>112.7717391304348</v>
      </c>
      <c r="R162" s="2">
        <v>1.2</v>
      </c>
      <c r="S162" s="2">
        <f t="shared" si="33"/>
        <v>4.45</v>
      </c>
      <c r="T162" s="2"/>
      <c r="U162" s="2"/>
      <c r="Y162" s="8">
        <f t="shared" si="34"/>
        <v>4.0146739130434783</v>
      </c>
    </row>
    <row r="163" spans="1:25" x14ac:dyDescent="0.25">
      <c r="A163" s="34">
        <f t="shared" si="40"/>
        <v>155</v>
      </c>
      <c r="B163" s="35">
        <f t="shared" si="40"/>
        <v>141</v>
      </c>
      <c r="C163" s="42" t="s">
        <v>80</v>
      </c>
      <c r="D163" s="35">
        <v>1</v>
      </c>
      <c r="E163" s="35">
        <v>2</v>
      </c>
      <c r="F163" s="36">
        <v>0.18379999999999999</v>
      </c>
      <c r="G163" s="36">
        <v>3.6200000000000003E-2</v>
      </c>
      <c r="H163" s="36">
        <v>8.3000000000000004E-2</v>
      </c>
      <c r="I163" s="37">
        <v>1.2500000000000001E-2</v>
      </c>
      <c r="J163" s="32">
        <f t="shared" si="32"/>
        <v>0.18467500000000001</v>
      </c>
      <c r="K163" s="33">
        <f t="shared" si="35"/>
        <v>2.770125E-2</v>
      </c>
      <c r="L163" s="33"/>
      <c r="O163" s="2">
        <f t="shared" si="37"/>
        <v>3.4583333333333334E-2</v>
      </c>
      <c r="P163" s="2">
        <f t="shared" si="38"/>
        <v>24.900000000000002</v>
      </c>
      <c r="Q163" s="7">
        <f t="shared" si="39"/>
        <v>112.7717391304348</v>
      </c>
      <c r="R163" s="2">
        <v>1.2</v>
      </c>
      <c r="S163" s="2">
        <f t="shared" si="33"/>
        <v>4.45</v>
      </c>
      <c r="T163" s="2"/>
      <c r="U163" s="2"/>
      <c r="Y163" s="8">
        <f t="shared" si="34"/>
        <v>4.0146739130434783</v>
      </c>
    </row>
    <row r="164" spans="1:25" x14ac:dyDescent="0.25">
      <c r="A164" s="34">
        <f t="shared" si="40"/>
        <v>156</v>
      </c>
      <c r="B164" s="35">
        <f t="shared" si="40"/>
        <v>142</v>
      </c>
      <c r="C164" s="42" t="s">
        <v>80</v>
      </c>
      <c r="D164" s="43">
        <v>2</v>
      </c>
      <c r="E164" s="43"/>
      <c r="F164" s="36">
        <f>178354/1000000</f>
        <v>0.17835400000000001</v>
      </c>
      <c r="G164" s="36">
        <f t="shared" ref="G164:G231" si="41">F164*0.197</f>
        <v>3.5135738000000007E-2</v>
      </c>
      <c r="H164" s="36">
        <f>85378/1000000</f>
        <v>8.5377999999999996E-2</v>
      </c>
      <c r="I164" s="37">
        <f t="shared" ref="I164:I231" si="42">H164*0.15</f>
        <v>1.2806699999999999E-2</v>
      </c>
      <c r="J164" s="32">
        <f t="shared" si="32"/>
        <v>0.18996605</v>
      </c>
      <c r="K164" s="33">
        <f t="shared" si="35"/>
        <v>2.84949075E-2</v>
      </c>
      <c r="L164" s="33"/>
      <c r="O164" s="2">
        <f t="shared" si="37"/>
        <v>3.5574166666666664E-2</v>
      </c>
      <c r="P164" s="2">
        <f t="shared" si="38"/>
        <v>25.613399999999999</v>
      </c>
      <c r="Q164" s="7">
        <f t="shared" si="39"/>
        <v>116.00271739130434</v>
      </c>
      <c r="R164" s="2">
        <v>1.2</v>
      </c>
      <c r="S164" s="2">
        <f t="shared" si="33"/>
        <v>4.45</v>
      </c>
      <c r="T164" s="2"/>
      <c r="U164" s="2"/>
      <c r="Y164" s="8">
        <f t="shared" si="34"/>
        <v>4.1296967391304342</v>
      </c>
    </row>
    <row r="165" spans="1:25" x14ac:dyDescent="0.25">
      <c r="A165" s="34">
        <f t="shared" si="40"/>
        <v>157</v>
      </c>
      <c r="B165" s="35">
        <f t="shared" si="40"/>
        <v>143</v>
      </c>
      <c r="C165" s="42" t="s">
        <v>80</v>
      </c>
      <c r="D165" s="44" t="s">
        <v>42</v>
      </c>
      <c r="E165" s="43"/>
      <c r="F165" s="36">
        <f>61920/1000000</f>
        <v>6.1920000000000003E-2</v>
      </c>
      <c r="G165" s="36">
        <f t="shared" si="41"/>
        <v>1.2198240000000001E-2</v>
      </c>
      <c r="H165" s="36">
        <f>89057/1000000</f>
        <v>8.9056999999999997E-2</v>
      </c>
      <c r="I165" s="37">
        <f t="shared" si="42"/>
        <v>1.3358549999999999E-2</v>
      </c>
      <c r="J165" s="32">
        <f t="shared" si="32"/>
        <v>0.198151825</v>
      </c>
      <c r="K165" s="33">
        <f t="shared" si="35"/>
        <v>2.9722773750000001E-2</v>
      </c>
      <c r="L165" s="33"/>
      <c r="O165" s="2">
        <f t="shared" si="37"/>
        <v>3.7107083333333332E-2</v>
      </c>
      <c r="P165" s="2">
        <f t="shared" si="38"/>
        <v>26.717099999999999</v>
      </c>
      <c r="Q165" s="7">
        <f t="shared" si="39"/>
        <v>121.00135869565217</v>
      </c>
      <c r="R165" s="2">
        <v>1.2</v>
      </c>
      <c r="S165" s="2">
        <f t="shared" si="33"/>
        <v>4.45</v>
      </c>
      <c r="T165" s="2"/>
      <c r="U165" s="2"/>
      <c r="Y165" s="8">
        <f t="shared" si="34"/>
        <v>4.3076483695652179</v>
      </c>
    </row>
    <row r="166" spans="1:25" x14ac:dyDescent="0.25">
      <c r="A166" s="34">
        <f t="shared" si="40"/>
        <v>158</v>
      </c>
      <c r="B166" s="35">
        <f t="shared" si="40"/>
        <v>144</v>
      </c>
      <c r="C166" s="42" t="s">
        <v>80</v>
      </c>
      <c r="D166" s="44" t="s">
        <v>81</v>
      </c>
      <c r="E166" s="43"/>
      <c r="F166" s="36">
        <f>61920/1000000</f>
        <v>6.1920000000000003E-2</v>
      </c>
      <c r="G166" s="36">
        <f t="shared" si="41"/>
        <v>1.2198240000000001E-2</v>
      </c>
      <c r="H166" s="36">
        <f>78017/1000000</f>
        <v>7.8017000000000003E-2</v>
      </c>
      <c r="I166" s="37">
        <f t="shared" si="42"/>
        <v>1.1702550000000001E-2</v>
      </c>
      <c r="J166" s="32">
        <f t="shared" si="32"/>
        <v>0.17358782500000006</v>
      </c>
      <c r="K166" s="33">
        <f t="shared" si="35"/>
        <v>2.6038173750000008E-2</v>
      </c>
      <c r="L166" s="33"/>
      <c r="O166" s="2">
        <f t="shared" si="37"/>
        <v>3.2507083333333339E-2</v>
      </c>
      <c r="P166" s="2">
        <f t="shared" si="38"/>
        <v>23.405100000000004</v>
      </c>
      <c r="Q166" s="7">
        <f t="shared" si="39"/>
        <v>106.0013586956522</v>
      </c>
      <c r="R166" s="2">
        <v>1.2</v>
      </c>
      <c r="S166" s="2">
        <f t="shared" si="33"/>
        <v>4.45</v>
      </c>
      <c r="T166" s="2"/>
      <c r="U166" s="2"/>
      <c r="Y166" s="8">
        <f t="shared" si="34"/>
        <v>3.773648369565219</v>
      </c>
    </row>
    <row r="167" spans="1:25" x14ac:dyDescent="0.25">
      <c r="A167" s="34">
        <f t="shared" si="40"/>
        <v>159</v>
      </c>
      <c r="B167" s="35">
        <f t="shared" si="40"/>
        <v>145</v>
      </c>
      <c r="C167" s="42" t="s">
        <v>80</v>
      </c>
      <c r="D167" s="44" t="s">
        <v>43</v>
      </c>
      <c r="E167" s="43"/>
      <c r="F167" s="36">
        <f>180040/1000000</f>
        <v>0.18004000000000001</v>
      </c>
      <c r="G167" s="36">
        <f t="shared" si="41"/>
        <v>3.546788E-2</v>
      </c>
      <c r="H167" s="36">
        <f>89057/1000000</f>
        <v>8.9056999999999997E-2</v>
      </c>
      <c r="I167" s="37">
        <f t="shared" si="42"/>
        <v>1.3358549999999999E-2</v>
      </c>
      <c r="J167" s="32">
        <f t="shared" si="32"/>
        <v>0.198151825</v>
      </c>
      <c r="K167" s="33">
        <f t="shared" si="35"/>
        <v>2.9722773750000001E-2</v>
      </c>
      <c r="L167" s="33"/>
      <c r="O167" s="2">
        <f t="shared" si="37"/>
        <v>3.7107083333333332E-2</v>
      </c>
      <c r="P167" s="2">
        <f t="shared" si="38"/>
        <v>26.717099999999999</v>
      </c>
      <c r="Q167" s="7">
        <f t="shared" si="39"/>
        <v>121.00135869565217</v>
      </c>
      <c r="R167" s="2">
        <v>1.2</v>
      </c>
      <c r="S167" s="2">
        <f t="shared" si="33"/>
        <v>4.45</v>
      </c>
      <c r="T167" s="2"/>
      <c r="U167" s="2"/>
      <c r="Y167" s="8">
        <f t="shared" si="34"/>
        <v>4.3076483695652179</v>
      </c>
    </row>
    <row r="168" spans="1:25" x14ac:dyDescent="0.25">
      <c r="A168" s="34">
        <f t="shared" si="40"/>
        <v>160</v>
      </c>
      <c r="B168" s="35">
        <f t="shared" si="40"/>
        <v>146</v>
      </c>
      <c r="C168" s="42" t="s">
        <v>80</v>
      </c>
      <c r="D168" s="44" t="s">
        <v>82</v>
      </c>
      <c r="E168" s="43"/>
      <c r="F168" s="36">
        <f>178524/1000000</f>
        <v>0.17852399999999999</v>
      </c>
      <c r="G168" s="36">
        <f t="shared" si="41"/>
        <v>3.5169227999999997E-2</v>
      </c>
      <c r="H168" s="36">
        <f>78754/1000000</f>
        <v>7.8754000000000005E-2</v>
      </c>
      <c r="I168" s="37">
        <f t="shared" si="42"/>
        <v>1.18131E-2</v>
      </c>
      <c r="J168" s="32">
        <f t="shared" si="32"/>
        <v>0.17522765000000001</v>
      </c>
      <c r="K168" s="33">
        <f t="shared" si="35"/>
        <v>2.62841475E-2</v>
      </c>
      <c r="L168" s="33"/>
      <c r="O168" s="2">
        <f t="shared" si="37"/>
        <v>3.2814166666666672E-2</v>
      </c>
      <c r="P168" s="2">
        <f t="shared" si="38"/>
        <v>23.626200000000004</v>
      </c>
      <c r="Q168" s="7">
        <f t="shared" si="39"/>
        <v>107.00271739130437</v>
      </c>
      <c r="R168" s="2">
        <v>1.2</v>
      </c>
      <c r="S168" s="2">
        <f t="shared" si="33"/>
        <v>4.45</v>
      </c>
      <c r="T168" s="2"/>
      <c r="U168" s="2"/>
      <c r="Y168" s="8">
        <f t="shared" si="34"/>
        <v>3.8092967391304349</v>
      </c>
    </row>
    <row r="169" spans="1:25" x14ac:dyDescent="0.25">
      <c r="A169" s="34">
        <f t="shared" si="40"/>
        <v>161</v>
      </c>
      <c r="B169" s="35">
        <f t="shared" si="40"/>
        <v>147</v>
      </c>
      <c r="C169" s="42" t="s">
        <v>80</v>
      </c>
      <c r="D169" s="44" t="s">
        <v>47</v>
      </c>
      <c r="E169" s="43"/>
      <c r="F169" s="36">
        <f>180022/1000000</f>
        <v>0.18002199999999999</v>
      </c>
      <c r="G169" s="36">
        <f t="shared" si="41"/>
        <v>3.5464334E-2</v>
      </c>
      <c r="H169" s="36">
        <f>76544/1000000</f>
        <v>7.6544000000000001E-2</v>
      </c>
      <c r="I169" s="37">
        <f t="shared" si="42"/>
        <v>1.14816E-2</v>
      </c>
      <c r="J169" s="32">
        <f t="shared" si="32"/>
        <v>0.1703104</v>
      </c>
      <c r="K169" s="33">
        <f t="shared" si="35"/>
        <v>2.5546559999999999E-2</v>
      </c>
      <c r="L169" s="33"/>
      <c r="O169" s="2">
        <f t="shared" si="37"/>
        <v>3.1893333333333336E-2</v>
      </c>
      <c r="P169" s="2">
        <f t="shared" si="38"/>
        <v>22.963200000000004</v>
      </c>
      <c r="Q169" s="7">
        <f t="shared" si="39"/>
        <v>104.00000000000001</v>
      </c>
      <c r="R169" s="2">
        <v>1.2</v>
      </c>
      <c r="S169" s="2">
        <f t="shared" si="33"/>
        <v>4.45</v>
      </c>
      <c r="T169" s="2"/>
      <c r="U169" s="2"/>
      <c r="Y169" s="8">
        <f t="shared" si="34"/>
        <v>3.7024000000000004</v>
      </c>
    </row>
    <row r="170" spans="1:25" x14ac:dyDescent="0.25">
      <c r="A170" s="34">
        <f t="shared" si="40"/>
        <v>162</v>
      </c>
      <c r="B170" s="35">
        <f t="shared" si="40"/>
        <v>148</v>
      </c>
      <c r="C170" s="42" t="s">
        <v>80</v>
      </c>
      <c r="D170" s="44" t="s">
        <v>83</v>
      </c>
      <c r="E170" s="43"/>
      <c r="F170" s="36">
        <f>218430/1000000</f>
        <v>0.21843000000000001</v>
      </c>
      <c r="G170" s="36">
        <f t="shared" si="41"/>
        <v>4.3030710000000007E-2</v>
      </c>
      <c r="H170" s="36">
        <f>75806/1000000</f>
        <v>7.5805999999999998E-2</v>
      </c>
      <c r="I170" s="37">
        <f t="shared" si="42"/>
        <v>1.13709E-2</v>
      </c>
      <c r="J170" s="32">
        <f t="shared" si="32"/>
        <v>0.16866834999999999</v>
      </c>
      <c r="K170" s="33">
        <f t="shared" si="35"/>
        <v>2.5300252499999999E-2</v>
      </c>
      <c r="L170" s="33"/>
      <c r="O170" s="2">
        <f t="shared" si="37"/>
        <v>3.1585833333333334E-2</v>
      </c>
      <c r="P170" s="2">
        <f t="shared" si="38"/>
        <v>22.741799999999998</v>
      </c>
      <c r="Q170" s="7">
        <f t="shared" si="39"/>
        <v>102.99728260869564</v>
      </c>
      <c r="R170" s="2">
        <v>1.2</v>
      </c>
      <c r="S170" s="2">
        <f t="shared" si="33"/>
        <v>4.45</v>
      </c>
      <c r="T170" s="2"/>
      <c r="U170" s="2"/>
      <c r="Y170" s="8">
        <f t="shared" si="34"/>
        <v>3.6667032608695651</v>
      </c>
    </row>
    <row r="171" spans="1:25" x14ac:dyDescent="0.25">
      <c r="A171" s="34">
        <f t="shared" ref="A171:B186" si="43">A170+1</f>
        <v>163</v>
      </c>
      <c r="B171" s="35"/>
      <c r="C171" s="42" t="s">
        <v>80</v>
      </c>
      <c r="D171" s="35">
        <v>6</v>
      </c>
      <c r="E171" s="35"/>
      <c r="F171" s="36">
        <f>174306/1000000</f>
        <v>0.17430599999999999</v>
      </c>
      <c r="G171" s="36">
        <f t="shared" si="41"/>
        <v>3.4338281999999998E-2</v>
      </c>
      <c r="H171" s="36">
        <f>85376/1000000</f>
        <v>8.5375999999999994E-2</v>
      </c>
      <c r="I171" s="37">
        <f>H171*0.15</f>
        <v>1.2806399999999999E-2</v>
      </c>
      <c r="J171" s="32">
        <f t="shared" si="32"/>
        <v>0.18996159999999998</v>
      </c>
      <c r="K171" s="33">
        <f t="shared" si="35"/>
        <v>2.8494239999999997E-2</v>
      </c>
      <c r="L171" s="33"/>
      <c r="O171" s="2">
        <f t="shared" si="37"/>
        <v>3.5573333333333332E-2</v>
      </c>
      <c r="P171" s="2">
        <f t="shared" si="38"/>
        <v>25.6128</v>
      </c>
      <c r="Q171" s="7">
        <f t="shared" si="39"/>
        <v>116</v>
      </c>
      <c r="R171" s="2">
        <v>1.2</v>
      </c>
      <c r="S171" s="2">
        <f t="shared" si="33"/>
        <v>4.45</v>
      </c>
      <c r="T171" s="2"/>
      <c r="U171" s="2"/>
      <c r="Y171" s="8">
        <f t="shared" si="34"/>
        <v>4.1295999999999999</v>
      </c>
    </row>
    <row r="172" spans="1:25" x14ac:dyDescent="0.25">
      <c r="A172" s="34">
        <f t="shared" si="43"/>
        <v>164</v>
      </c>
      <c r="B172" s="35">
        <f>B170+1</f>
        <v>149</v>
      </c>
      <c r="C172" s="42" t="s">
        <v>80</v>
      </c>
      <c r="D172" s="44" t="s">
        <v>50</v>
      </c>
      <c r="E172" s="43">
        <v>1</v>
      </c>
      <c r="F172" s="36">
        <f>169123/1000000</f>
        <v>0.169123</v>
      </c>
      <c r="G172" s="36">
        <f t="shared" si="41"/>
        <v>3.3317231000000003E-2</v>
      </c>
      <c r="H172" s="36">
        <f>80224/1000000</f>
        <v>8.0224000000000004E-2</v>
      </c>
      <c r="I172" s="37">
        <f t="shared" si="42"/>
        <v>1.20336E-2</v>
      </c>
      <c r="J172" s="32">
        <f t="shared" si="32"/>
        <v>0.1784984</v>
      </c>
      <c r="K172" s="33">
        <f t="shared" si="35"/>
        <v>2.6774759999999998E-2</v>
      </c>
      <c r="L172" s="33"/>
      <c r="O172" s="2">
        <f t="shared" si="37"/>
        <v>3.3426666666666667E-2</v>
      </c>
      <c r="P172" s="2">
        <f t="shared" si="38"/>
        <v>24.067200000000003</v>
      </c>
      <c r="Q172" s="7">
        <f t="shared" si="39"/>
        <v>109.00000000000001</v>
      </c>
      <c r="R172" s="2">
        <v>1.2</v>
      </c>
      <c r="S172" s="2">
        <f t="shared" si="33"/>
        <v>4.45</v>
      </c>
      <c r="T172" s="2"/>
      <c r="U172" s="2"/>
      <c r="Y172" s="8">
        <f t="shared" si="34"/>
        <v>3.8803999999999998</v>
      </c>
    </row>
    <row r="173" spans="1:25" x14ac:dyDescent="0.25">
      <c r="A173" s="34">
        <f t="shared" si="43"/>
        <v>165</v>
      </c>
      <c r="B173" s="35">
        <f t="shared" si="43"/>
        <v>150</v>
      </c>
      <c r="C173" s="42" t="s">
        <v>80</v>
      </c>
      <c r="D173" s="41" t="s">
        <v>50</v>
      </c>
      <c r="E173" s="35">
        <v>2</v>
      </c>
      <c r="F173" s="36">
        <f>169123/1000000</f>
        <v>0.169123</v>
      </c>
      <c r="G173" s="36">
        <f t="shared" si="41"/>
        <v>3.3317231000000003E-2</v>
      </c>
      <c r="H173" s="36">
        <f>80224/1000000</f>
        <v>8.0224000000000004E-2</v>
      </c>
      <c r="I173" s="37">
        <f t="shared" si="42"/>
        <v>1.20336E-2</v>
      </c>
      <c r="J173" s="32">
        <f t="shared" si="32"/>
        <v>0.1784984</v>
      </c>
      <c r="K173" s="33">
        <f t="shared" si="35"/>
        <v>2.6774759999999998E-2</v>
      </c>
      <c r="L173" s="33"/>
      <c r="O173" s="2">
        <f t="shared" si="37"/>
        <v>3.3426666666666667E-2</v>
      </c>
      <c r="P173" s="2">
        <f t="shared" si="38"/>
        <v>24.067200000000003</v>
      </c>
      <c r="Q173" s="7">
        <f t="shared" si="39"/>
        <v>109.00000000000001</v>
      </c>
      <c r="R173" s="2">
        <v>1.2</v>
      </c>
      <c r="S173" s="2">
        <f t="shared" si="33"/>
        <v>4.45</v>
      </c>
      <c r="T173" s="2"/>
      <c r="U173" s="2"/>
      <c r="Y173" s="8">
        <f t="shared" si="34"/>
        <v>3.8803999999999998</v>
      </c>
    </row>
    <row r="174" spans="1:25" x14ac:dyDescent="0.25">
      <c r="A174" s="34">
        <f t="shared" si="43"/>
        <v>166</v>
      </c>
      <c r="B174" s="35">
        <f t="shared" si="43"/>
        <v>151</v>
      </c>
      <c r="C174" s="42" t="s">
        <v>80</v>
      </c>
      <c r="D174" s="44" t="s">
        <v>84</v>
      </c>
      <c r="E174" s="43"/>
      <c r="F174" s="36">
        <f>132719/1000000</f>
        <v>0.132719</v>
      </c>
      <c r="G174" s="36">
        <f t="shared" si="41"/>
        <v>2.6145643000000003E-2</v>
      </c>
      <c r="H174" s="36">
        <f>118498/1000000</f>
        <v>0.11849800000000001</v>
      </c>
      <c r="I174" s="37">
        <f t="shared" si="42"/>
        <v>1.7774700000000001E-2</v>
      </c>
      <c r="J174" s="32">
        <f t="shared" si="32"/>
        <v>0.21922130000000004</v>
      </c>
      <c r="K174" s="33">
        <f t="shared" si="35"/>
        <v>3.2883195000000004E-2</v>
      </c>
      <c r="L174" s="33"/>
      <c r="O174" s="2">
        <f t="shared" si="37"/>
        <v>4.937416666666667E-2</v>
      </c>
      <c r="P174" s="2">
        <f t="shared" si="38"/>
        <v>35.549400000000006</v>
      </c>
      <c r="Q174" s="7">
        <f t="shared" si="39"/>
        <v>161.00271739130437</v>
      </c>
      <c r="R174" s="2">
        <v>1.2</v>
      </c>
      <c r="S174" s="2">
        <f t="shared" si="33"/>
        <v>3.7</v>
      </c>
      <c r="T174" s="2"/>
      <c r="U174" s="2"/>
      <c r="Y174" s="8">
        <f t="shared" si="34"/>
        <v>4.7656804347826096</v>
      </c>
    </row>
    <row r="175" spans="1:25" x14ac:dyDescent="0.25">
      <c r="A175" s="34">
        <f t="shared" si="43"/>
        <v>167</v>
      </c>
      <c r="B175" s="35">
        <f t="shared" si="43"/>
        <v>152</v>
      </c>
      <c r="C175" s="42" t="s">
        <v>80</v>
      </c>
      <c r="D175" s="44" t="s">
        <v>85</v>
      </c>
      <c r="E175" s="43"/>
      <c r="F175" s="36">
        <f>170000/1000000</f>
        <v>0.17</v>
      </c>
      <c r="G175" s="36">
        <f t="shared" si="41"/>
        <v>3.3490000000000006E-2</v>
      </c>
      <c r="H175" s="36">
        <f>93472/1000000</f>
        <v>9.3472E-2</v>
      </c>
      <c r="I175" s="37">
        <f t="shared" si="42"/>
        <v>1.40208E-2</v>
      </c>
      <c r="J175" s="32">
        <f t="shared" si="32"/>
        <v>0.20797520000000003</v>
      </c>
      <c r="K175" s="33">
        <f t="shared" si="35"/>
        <v>3.1196280000000003E-2</v>
      </c>
      <c r="L175" s="33"/>
      <c r="O175" s="2">
        <f t="shared" si="37"/>
        <v>3.8946666666666671E-2</v>
      </c>
      <c r="P175" s="2">
        <f t="shared" si="38"/>
        <v>28.041600000000003</v>
      </c>
      <c r="Q175" s="7">
        <f t="shared" si="39"/>
        <v>127.00000000000001</v>
      </c>
      <c r="R175" s="2">
        <v>1.2</v>
      </c>
      <c r="S175" s="2">
        <f t="shared" si="33"/>
        <v>4.45</v>
      </c>
      <c r="T175" s="2"/>
      <c r="U175" s="2"/>
      <c r="Y175" s="8">
        <f t="shared" si="34"/>
        <v>4.5212000000000003</v>
      </c>
    </row>
    <row r="176" spans="1:25" x14ac:dyDescent="0.25">
      <c r="A176" s="34">
        <f t="shared" si="43"/>
        <v>168</v>
      </c>
      <c r="B176" s="35">
        <f t="shared" si="43"/>
        <v>153</v>
      </c>
      <c r="C176" s="42" t="s">
        <v>80</v>
      </c>
      <c r="D176" s="44" t="s">
        <v>51</v>
      </c>
      <c r="E176" s="43">
        <v>1</v>
      </c>
      <c r="F176" s="36">
        <f>113684/1000000</f>
        <v>0.11368399999999999</v>
      </c>
      <c r="G176" s="36">
        <f t="shared" si="41"/>
        <v>2.2395748E-2</v>
      </c>
      <c r="H176" s="36">
        <f>75441/1000000</f>
        <v>7.5440999999999994E-2</v>
      </c>
      <c r="I176" s="37">
        <f t="shared" si="42"/>
        <v>1.1316149999999999E-2</v>
      </c>
      <c r="J176" s="32">
        <f t="shared" si="32"/>
        <v>0.167856225</v>
      </c>
      <c r="K176" s="33">
        <f t="shared" si="35"/>
        <v>2.517843375E-2</v>
      </c>
      <c r="L176" s="33"/>
      <c r="O176" s="2">
        <f t="shared" si="37"/>
        <v>3.1433749999999996E-2</v>
      </c>
      <c r="P176" s="2">
        <f t="shared" si="38"/>
        <v>22.632299999999997</v>
      </c>
      <c r="Q176" s="7">
        <f t="shared" si="39"/>
        <v>102.50135869565216</v>
      </c>
      <c r="R176" s="2">
        <v>1.2</v>
      </c>
      <c r="S176" s="2">
        <f t="shared" si="33"/>
        <v>4.45</v>
      </c>
      <c r="T176" s="2"/>
      <c r="U176" s="2"/>
      <c r="Y176" s="8">
        <f t="shared" si="34"/>
        <v>3.6490483695652172</v>
      </c>
    </row>
    <row r="177" spans="1:25" x14ac:dyDescent="0.25">
      <c r="A177" s="34">
        <f t="shared" si="43"/>
        <v>169</v>
      </c>
      <c r="B177" s="35">
        <f t="shared" si="43"/>
        <v>154</v>
      </c>
      <c r="C177" s="42" t="s">
        <v>80</v>
      </c>
      <c r="D177" s="41" t="s">
        <v>51</v>
      </c>
      <c r="E177" s="35">
        <v>2</v>
      </c>
      <c r="F177" s="36">
        <f>113684/1000000</f>
        <v>0.11368399999999999</v>
      </c>
      <c r="G177" s="36">
        <f t="shared" si="41"/>
        <v>2.2395748E-2</v>
      </c>
      <c r="H177" s="36">
        <f>75441/1000000</f>
        <v>7.5440999999999994E-2</v>
      </c>
      <c r="I177" s="37">
        <f t="shared" si="42"/>
        <v>1.1316149999999999E-2</v>
      </c>
      <c r="J177" s="32">
        <f t="shared" si="32"/>
        <v>0.167856225</v>
      </c>
      <c r="K177" s="33">
        <f t="shared" si="35"/>
        <v>2.517843375E-2</v>
      </c>
      <c r="L177" s="33"/>
      <c r="O177" s="2">
        <f t="shared" si="37"/>
        <v>3.1433749999999996E-2</v>
      </c>
      <c r="P177" s="2">
        <f t="shared" si="38"/>
        <v>22.632299999999997</v>
      </c>
      <c r="Q177" s="7">
        <f t="shared" si="39"/>
        <v>102.50135869565216</v>
      </c>
      <c r="R177" s="2">
        <v>1.2</v>
      </c>
      <c r="S177" s="2">
        <f t="shared" si="33"/>
        <v>4.45</v>
      </c>
      <c r="T177" s="2"/>
      <c r="U177" s="2"/>
      <c r="Y177" s="8">
        <f t="shared" si="34"/>
        <v>3.6490483695652172</v>
      </c>
    </row>
    <row r="178" spans="1:25" x14ac:dyDescent="0.25">
      <c r="A178" s="34">
        <f t="shared" si="43"/>
        <v>170</v>
      </c>
      <c r="B178" s="35">
        <f t="shared" si="43"/>
        <v>155</v>
      </c>
      <c r="C178" s="42" t="s">
        <v>80</v>
      </c>
      <c r="D178" s="41" t="s">
        <v>86</v>
      </c>
      <c r="E178" s="35"/>
      <c r="F178" s="36">
        <f>170000/1000000</f>
        <v>0.17</v>
      </c>
      <c r="G178" s="36">
        <f t="shared" si="41"/>
        <v>3.3490000000000006E-2</v>
      </c>
      <c r="H178" s="36">
        <f>58120/1000000</f>
        <v>5.8119999999999998E-2</v>
      </c>
      <c r="I178" s="37">
        <f t="shared" si="42"/>
        <v>8.7180000000000001E-3</v>
      </c>
      <c r="J178" s="32">
        <f t="shared" si="32"/>
        <v>0.12931699999999999</v>
      </c>
      <c r="K178" s="33">
        <f t="shared" si="35"/>
        <v>1.9397549999999996E-2</v>
      </c>
      <c r="L178" s="33"/>
      <c r="O178" s="2">
        <f t="shared" si="37"/>
        <v>2.4216666666666668E-2</v>
      </c>
      <c r="P178" s="2">
        <f t="shared" si="38"/>
        <v>17.436</v>
      </c>
      <c r="Q178" s="7">
        <f t="shared" si="39"/>
        <v>78.967391304347828</v>
      </c>
      <c r="R178" s="2">
        <v>1.2</v>
      </c>
      <c r="S178" s="2">
        <f t="shared" si="33"/>
        <v>4.45</v>
      </c>
      <c r="T178" s="2"/>
      <c r="U178" s="2"/>
      <c r="Y178" s="8">
        <f t="shared" si="34"/>
        <v>2.8112391304347826</v>
      </c>
    </row>
    <row r="179" spans="1:25" x14ac:dyDescent="0.25">
      <c r="A179" s="34">
        <f t="shared" si="43"/>
        <v>171</v>
      </c>
      <c r="B179" s="35">
        <f t="shared" si="43"/>
        <v>156</v>
      </c>
      <c r="C179" s="42" t="s">
        <v>80</v>
      </c>
      <c r="D179" s="44" t="s">
        <v>52</v>
      </c>
      <c r="E179" s="43">
        <v>1</v>
      </c>
      <c r="F179" s="36">
        <f>171348/1000000</f>
        <v>0.171348</v>
      </c>
      <c r="G179" s="36">
        <f t="shared" si="41"/>
        <v>3.3755555999999999E-2</v>
      </c>
      <c r="H179" s="36">
        <f>83168.5/1000000</f>
        <v>8.3168500000000006E-2</v>
      </c>
      <c r="I179" s="37">
        <f t="shared" si="42"/>
        <v>1.2475275000000001E-2</v>
      </c>
      <c r="J179" s="32">
        <f t="shared" si="32"/>
        <v>0.18504991250000002</v>
      </c>
      <c r="K179" s="33">
        <f t="shared" si="35"/>
        <v>2.7757486875000004E-2</v>
      </c>
      <c r="L179" s="33"/>
      <c r="O179" s="2">
        <f t="shared" si="37"/>
        <v>3.4653541666666669E-2</v>
      </c>
      <c r="P179" s="2">
        <f t="shared" si="38"/>
        <v>24.95055</v>
      </c>
      <c r="Q179" s="7">
        <f t="shared" si="39"/>
        <v>113.00067934782609</v>
      </c>
      <c r="R179" s="2">
        <v>1.2</v>
      </c>
      <c r="S179" s="2">
        <f t="shared" si="33"/>
        <v>4.45</v>
      </c>
      <c r="T179" s="2"/>
      <c r="U179" s="2"/>
      <c r="Y179" s="8">
        <f t="shared" si="34"/>
        <v>4.0228241847826087</v>
      </c>
    </row>
    <row r="180" spans="1:25" x14ac:dyDescent="0.25">
      <c r="A180" s="34">
        <f t="shared" si="43"/>
        <v>172</v>
      </c>
      <c r="B180" s="35">
        <f t="shared" si="43"/>
        <v>157</v>
      </c>
      <c r="C180" s="42" t="s">
        <v>80</v>
      </c>
      <c r="D180" s="41" t="s">
        <v>52</v>
      </c>
      <c r="E180" s="35">
        <v>2</v>
      </c>
      <c r="F180" s="36">
        <f>171348/1000000</f>
        <v>0.171348</v>
      </c>
      <c r="G180" s="36">
        <f t="shared" si="41"/>
        <v>3.3755555999999999E-2</v>
      </c>
      <c r="H180" s="36">
        <f>83168.5/1000000</f>
        <v>8.3168500000000006E-2</v>
      </c>
      <c r="I180" s="37">
        <f t="shared" si="42"/>
        <v>1.2475275000000001E-2</v>
      </c>
      <c r="J180" s="32">
        <f t="shared" si="32"/>
        <v>0.18504991250000002</v>
      </c>
      <c r="K180" s="33">
        <f t="shared" si="35"/>
        <v>2.7757486875000004E-2</v>
      </c>
      <c r="L180" s="33"/>
      <c r="O180" s="2">
        <f t="shared" si="37"/>
        <v>3.4653541666666669E-2</v>
      </c>
      <c r="P180" s="2">
        <f t="shared" si="38"/>
        <v>24.95055</v>
      </c>
      <c r="Q180" s="7">
        <f t="shared" si="39"/>
        <v>113.00067934782609</v>
      </c>
      <c r="R180" s="2">
        <v>1.2</v>
      </c>
      <c r="S180" s="2">
        <f t="shared" si="33"/>
        <v>4.45</v>
      </c>
      <c r="T180" s="2"/>
      <c r="U180" s="2"/>
      <c r="Y180" s="8">
        <f t="shared" si="34"/>
        <v>4.0228241847826087</v>
      </c>
    </row>
    <row r="181" spans="1:25" x14ac:dyDescent="0.25">
      <c r="A181" s="34">
        <f t="shared" si="43"/>
        <v>173</v>
      </c>
      <c r="B181" s="35">
        <f t="shared" si="43"/>
        <v>158</v>
      </c>
      <c r="C181" s="42" t="s">
        <v>80</v>
      </c>
      <c r="D181" s="44" t="s">
        <v>87</v>
      </c>
      <c r="E181" s="43">
        <v>1</v>
      </c>
      <c r="F181" s="36">
        <f>201420.3/1000000</f>
        <v>0.2014203</v>
      </c>
      <c r="G181" s="36">
        <f t="shared" si="41"/>
        <v>3.9679799100000003E-2</v>
      </c>
      <c r="H181" s="36">
        <f>78016/1000000</f>
        <v>7.8016000000000002E-2</v>
      </c>
      <c r="I181" s="37">
        <f t="shared" si="42"/>
        <v>1.17024E-2</v>
      </c>
      <c r="J181" s="32">
        <f t="shared" si="32"/>
        <v>0.17358560000000001</v>
      </c>
      <c r="K181" s="33">
        <f t="shared" si="35"/>
        <v>2.603784E-2</v>
      </c>
      <c r="L181" s="33"/>
      <c r="O181" s="2">
        <f t="shared" si="37"/>
        <v>3.250666666666667E-2</v>
      </c>
      <c r="P181" s="2">
        <f t="shared" si="38"/>
        <v>23.404800000000002</v>
      </c>
      <c r="Q181" s="7">
        <f t="shared" si="39"/>
        <v>106.00000000000001</v>
      </c>
      <c r="R181" s="2">
        <v>1.2</v>
      </c>
      <c r="S181" s="2">
        <f t="shared" si="33"/>
        <v>4.45</v>
      </c>
      <c r="T181" s="2"/>
      <c r="U181" s="2"/>
      <c r="Y181" s="8">
        <f t="shared" si="34"/>
        <v>3.7736000000000001</v>
      </c>
    </row>
    <row r="182" spans="1:25" x14ac:dyDescent="0.25">
      <c r="A182" s="34">
        <f t="shared" si="43"/>
        <v>174</v>
      </c>
      <c r="B182" s="35">
        <f t="shared" si="43"/>
        <v>159</v>
      </c>
      <c r="C182" s="42" t="s">
        <v>80</v>
      </c>
      <c r="D182" s="41" t="s">
        <v>87</v>
      </c>
      <c r="E182" s="35">
        <v>2</v>
      </c>
      <c r="F182" s="36">
        <f>201420.3/1000000</f>
        <v>0.2014203</v>
      </c>
      <c r="G182" s="36">
        <f t="shared" si="41"/>
        <v>3.9679799100000003E-2</v>
      </c>
      <c r="H182" s="36">
        <f>78016/1000000</f>
        <v>7.8016000000000002E-2</v>
      </c>
      <c r="I182" s="37">
        <f t="shared" si="42"/>
        <v>1.17024E-2</v>
      </c>
      <c r="J182" s="32">
        <f t="shared" si="32"/>
        <v>0.17358560000000001</v>
      </c>
      <c r="K182" s="33">
        <f t="shared" si="35"/>
        <v>2.603784E-2</v>
      </c>
      <c r="L182" s="33"/>
      <c r="O182" s="2">
        <f t="shared" si="37"/>
        <v>3.250666666666667E-2</v>
      </c>
      <c r="P182" s="2">
        <f t="shared" si="38"/>
        <v>23.404800000000002</v>
      </c>
      <c r="Q182" s="7">
        <f t="shared" si="39"/>
        <v>106.00000000000001</v>
      </c>
      <c r="R182" s="2">
        <v>1.2</v>
      </c>
      <c r="S182" s="2">
        <f t="shared" si="33"/>
        <v>4.45</v>
      </c>
      <c r="T182" s="2"/>
      <c r="U182" s="2"/>
      <c r="Y182" s="8">
        <f t="shared" si="34"/>
        <v>3.7736000000000001</v>
      </c>
    </row>
    <row r="183" spans="1:25" x14ac:dyDescent="0.25">
      <c r="A183" s="34">
        <f t="shared" si="43"/>
        <v>175</v>
      </c>
      <c r="B183" s="35">
        <f t="shared" si="43"/>
        <v>160</v>
      </c>
      <c r="C183" s="42" t="s">
        <v>80</v>
      </c>
      <c r="D183" s="44" t="s">
        <v>88</v>
      </c>
      <c r="E183" s="43">
        <v>1</v>
      </c>
      <c r="F183" s="36">
        <f>165501/1000000</f>
        <v>0.16550100000000001</v>
      </c>
      <c r="G183" s="36">
        <f t="shared" si="41"/>
        <v>3.2603697000000001E-2</v>
      </c>
      <c r="H183" s="36">
        <f>76544/1000000</f>
        <v>7.6544000000000001E-2</v>
      </c>
      <c r="I183" s="37">
        <f t="shared" si="42"/>
        <v>1.14816E-2</v>
      </c>
      <c r="J183" s="32">
        <f t="shared" si="32"/>
        <v>0.1703104</v>
      </c>
      <c r="K183" s="33">
        <f t="shared" si="35"/>
        <v>2.5546559999999999E-2</v>
      </c>
      <c r="L183" s="33"/>
      <c r="O183" s="2">
        <f t="shared" si="37"/>
        <v>3.1893333333333336E-2</v>
      </c>
      <c r="P183" s="2">
        <f t="shared" si="38"/>
        <v>22.963200000000004</v>
      </c>
      <c r="Q183" s="7">
        <f t="shared" si="39"/>
        <v>104.00000000000001</v>
      </c>
      <c r="R183" s="2">
        <v>1.2</v>
      </c>
      <c r="S183" s="2">
        <f t="shared" si="33"/>
        <v>4.45</v>
      </c>
      <c r="T183" s="2"/>
      <c r="U183" s="2"/>
      <c r="Y183" s="8">
        <f t="shared" si="34"/>
        <v>3.7024000000000004</v>
      </c>
    </row>
    <row r="184" spans="1:25" x14ac:dyDescent="0.25">
      <c r="A184" s="34">
        <f t="shared" si="43"/>
        <v>176</v>
      </c>
      <c r="B184" s="35">
        <f t="shared" si="43"/>
        <v>161</v>
      </c>
      <c r="C184" s="42" t="s">
        <v>80</v>
      </c>
      <c r="D184" s="41" t="s">
        <v>88</v>
      </c>
      <c r="E184" s="35">
        <v>2</v>
      </c>
      <c r="F184" s="36">
        <f>165501/1000000</f>
        <v>0.16550100000000001</v>
      </c>
      <c r="G184" s="36">
        <f t="shared" si="41"/>
        <v>3.2603697000000001E-2</v>
      </c>
      <c r="H184" s="36">
        <f>76544/1000000</f>
        <v>7.6544000000000001E-2</v>
      </c>
      <c r="I184" s="37">
        <f t="shared" si="42"/>
        <v>1.14816E-2</v>
      </c>
      <c r="J184" s="32">
        <f t="shared" si="32"/>
        <v>0.1703104</v>
      </c>
      <c r="K184" s="33">
        <f t="shared" si="35"/>
        <v>2.5546559999999999E-2</v>
      </c>
      <c r="L184" s="33"/>
      <c r="O184" s="2">
        <f t="shared" si="37"/>
        <v>3.1893333333333336E-2</v>
      </c>
      <c r="P184" s="2">
        <f t="shared" si="38"/>
        <v>22.963200000000004</v>
      </c>
      <c r="Q184" s="7">
        <f t="shared" si="39"/>
        <v>104.00000000000001</v>
      </c>
      <c r="R184" s="2">
        <v>1.2</v>
      </c>
      <c r="S184" s="2">
        <f t="shared" si="33"/>
        <v>4.45</v>
      </c>
      <c r="T184" s="2"/>
      <c r="U184" s="2"/>
      <c r="Y184" s="8">
        <f t="shared" si="34"/>
        <v>3.7024000000000004</v>
      </c>
    </row>
    <row r="185" spans="1:25" x14ac:dyDescent="0.25">
      <c r="A185" s="34">
        <f t="shared" si="43"/>
        <v>177</v>
      </c>
      <c r="B185" s="35">
        <f t="shared" si="43"/>
        <v>162</v>
      </c>
      <c r="C185" s="42" t="s">
        <v>80</v>
      </c>
      <c r="D185" s="44" t="s">
        <v>53</v>
      </c>
      <c r="E185" s="43"/>
      <c r="F185" s="36">
        <f>211455/1000000</f>
        <v>0.211455</v>
      </c>
      <c r="G185" s="36">
        <f t="shared" si="41"/>
        <v>4.1656635000000004E-2</v>
      </c>
      <c r="H185" s="36">
        <f>62561/1000000</f>
        <v>6.2561000000000005E-2</v>
      </c>
      <c r="I185" s="37">
        <f t="shared" si="42"/>
        <v>9.3841500000000008E-3</v>
      </c>
      <c r="J185" s="32">
        <f t="shared" si="32"/>
        <v>0.13919822500000001</v>
      </c>
      <c r="K185" s="33">
        <f t="shared" si="35"/>
        <v>2.0879733750000001E-2</v>
      </c>
      <c r="L185" s="33"/>
      <c r="O185" s="2">
        <f t="shared" si="37"/>
        <v>2.6067083333333338E-2</v>
      </c>
      <c r="P185" s="2">
        <f t="shared" si="38"/>
        <v>18.768300000000004</v>
      </c>
      <c r="Q185" s="7">
        <f t="shared" si="39"/>
        <v>85.001358695652186</v>
      </c>
      <c r="R185" s="2">
        <v>1.2</v>
      </c>
      <c r="S185" s="2">
        <f t="shared" si="33"/>
        <v>4.45</v>
      </c>
      <c r="T185" s="2"/>
      <c r="U185" s="2"/>
      <c r="Y185" s="8">
        <f t="shared" si="34"/>
        <v>3.0260483695652178</v>
      </c>
    </row>
    <row r="186" spans="1:25" x14ac:dyDescent="0.25">
      <c r="A186" s="34">
        <f t="shared" si="43"/>
        <v>178</v>
      </c>
      <c r="B186" s="35">
        <f t="shared" si="43"/>
        <v>163</v>
      </c>
      <c r="C186" s="42" t="s">
        <v>80</v>
      </c>
      <c r="D186" s="44" t="s">
        <v>54</v>
      </c>
      <c r="E186" s="43">
        <v>1</v>
      </c>
      <c r="F186" s="36">
        <f>171416/1000000</f>
        <v>0.17141600000000001</v>
      </c>
      <c r="G186" s="36">
        <f t="shared" si="41"/>
        <v>3.3768952000000005E-2</v>
      </c>
      <c r="H186" s="36">
        <f>86480.5/1000000</f>
        <v>8.6480500000000002E-2</v>
      </c>
      <c r="I186" s="37">
        <f t="shared" si="42"/>
        <v>1.2972075E-2</v>
      </c>
      <c r="J186" s="32">
        <f t="shared" si="32"/>
        <v>0.19241911250000002</v>
      </c>
      <c r="K186" s="33">
        <f t="shared" si="35"/>
        <v>2.8862866875E-2</v>
      </c>
      <c r="L186" s="33"/>
      <c r="O186" s="2">
        <f t="shared" si="37"/>
        <v>3.6033541666666669E-2</v>
      </c>
      <c r="P186" s="2">
        <f t="shared" si="38"/>
        <v>25.94415</v>
      </c>
      <c r="Q186" s="7">
        <f t="shared" si="39"/>
        <v>117.50067934782609</v>
      </c>
      <c r="R186" s="2">
        <v>1.2</v>
      </c>
      <c r="S186" s="2">
        <f t="shared" si="33"/>
        <v>4.45</v>
      </c>
      <c r="T186" s="2"/>
      <c r="U186" s="2"/>
      <c r="Y186" s="8">
        <f t="shared" si="34"/>
        <v>4.1830241847826093</v>
      </c>
    </row>
    <row r="187" spans="1:25" x14ac:dyDescent="0.25">
      <c r="A187" s="34">
        <f t="shared" ref="A187:B202" si="44">A186+1</f>
        <v>179</v>
      </c>
      <c r="B187" s="35">
        <f t="shared" si="44"/>
        <v>164</v>
      </c>
      <c r="C187" s="42" t="s">
        <v>80</v>
      </c>
      <c r="D187" s="41" t="s">
        <v>54</v>
      </c>
      <c r="E187" s="35">
        <v>2</v>
      </c>
      <c r="F187" s="36">
        <f>171416/1000000</f>
        <v>0.17141600000000001</v>
      </c>
      <c r="G187" s="36">
        <f t="shared" si="41"/>
        <v>3.3768952000000005E-2</v>
      </c>
      <c r="H187" s="36">
        <f>86480.5/1000000</f>
        <v>8.6480500000000002E-2</v>
      </c>
      <c r="I187" s="37">
        <f t="shared" si="42"/>
        <v>1.2972075E-2</v>
      </c>
      <c r="J187" s="32">
        <f t="shared" si="32"/>
        <v>0.19241911250000002</v>
      </c>
      <c r="K187" s="33">
        <f t="shared" si="35"/>
        <v>2.8862866875E-2</v>
      </c>
      <c r="L187" s="33"/>
      <c r="O187" s="2">
        <f t="shared" si="37"/>
        <v>3.6033541666666669E-2</v>
      </c>
      <c r="P187" s="2">
        <f t="shared" si="38"/>
        <v>25.94415</v>
      </c>
      <c r="Q187" s="7">
        <f t="shared" si="39"/>
        <v>117.50067934782609</v>
      </c>
      <c r="R187" s="2">
        <v>1.2</v>
      </c>
      <c r="S187" s="2">
        <f t="shared" si="33"/>
        <v>4.45</v>
      </c>
      <c r="T187" s="2"/>
      <c r="U187" s="2"/>
      <c r="Y187" s="8">
        <f t="shared" si="34"/>
        <v>4.1830241847826093</v>
      </c>
    </row>
    <row r="188" spans="1:25" x14ac:dyDescent="0.25">
      <c r="A188" s="34">
        <f t="shared" si="44"/>
        <v>180</v>
      </c>
      <c r="B188" s="35">
        <f t="shared" si="44"/>
        <v>165</v>
      </c>
      <c r="C188" s="42" t="s">
        <v>80</v>
      </c>
      <c r="D188" s="44" t="s">
        <v>55</v>
      </c>
      <c r="E188" s="43"/>
      <c r="F188" s="36">
        <f>211455/1000000</f>
        <v>0.211455</v>
      </c>
      <c r="G188" s="36">
        <f t="shared" si="41"/>
        <v>4.1656635000000004E-2</v>
      </c>
      <c r="H188" s="36">
        <f>70656/1000000</f>
        <v>7.0655999999999997E-2</v>
      </c>
      <c r="I188" s="37">
        <f t="shared" si="42"/>
        <v>1.0598399999999999E-2</v>
      </c>
      <c r="J188" s="32">
        <f t="shared" si="32"/>
        <v>0.1572096</v>
      </c>
      <c r="K188" s="33">
        <f t="shared" si="35"/>
        <v>2.3581439999999999E-2</v>
      </c>
      <c r="L188" s="33"/>
      <c r="O188" s="2">
        <f t="shared" si="37"/>
        <v>2.9440000000000001E-2</v>
      </c>
      <c r="P188" s="2">
        <f t="shared" si="38"/>
        <v>21.196800000000003</v>
      </c>
      <c r="Q188" s="7">
        <f t="shared" si="39"/>
        <v>96.000000000000014</v>
      </c>
      <c r="R188" s="2">
        <v>1.2</v>
      </c>
      <c r="S188" s="2">
        <f t="shared" si="33"/>
        <v>4.45</v>
      </c>
      <c r="T188" s="2"/>
      <c r="U188" s="2"/>
      <c r="Y188" s="8">
        <f t="shared" si="34"/>
        <v>3.4176000000000002</v>
      </c>
    </row>
    <row r="189" spans="1:25" x14ac:dyDescent="0.25">
      <c r="A189" s="34">
        <f t="shared" si="44"/>
        <v>181</v>
      </c>
      <c r="B189" s="35">
        <f t="shared" si="44"/>
        <v>166</v>
      </c>
      <c r="C189" s="42" t="s">
        <v>80</v>
      </c>
      <c r="D189" s="44" t="s">
        <v>56</v>
      </c>
      <c r="E189" s="43">
        <v>1</v>
      </c>
      <c r="F189" s="36">
        <f>169343/1000000</f>
        <v>0.16934299999999999</v>
      </c>
      <c r="G189" s="36">
        <f t="shared" si="41"/>
        <v>3.3360570999999999E-2</v>
      </c>
      <c r="H189" s="36">
        <f>87584/1000000</f>
        <v>8.7583999999999995E-2</v>
      </c>
      <c r="I189" s="37">
        <f t="shared" si="42"/>
        <v>1.3137599999999999E-2</v>
      </c>
      <c r="J189" s="32">
        <f t="shared" si="32"/>
        <v>0.19487440000000003</v>
      </c>
      <c r="K189" s="33">
        <f t="shared" si="35"/>
        <v>2.9231160000000003E-2</v>
      </c>
      <c r="L189" s="33"/>
      <c r="O189" s="2">
        <f t="shared" si="37"/>
        <v>3.6493333333333336E-2</v>
      </c>
      <c r="P189" s="2">
        <f t="shared" si="38"/>
        <v>26.275200000000002</v>
      </c>
      <c r="Q189" s="7">
        <f t="shared" si="39"/>
        <v>119.00000000000001</v>
      </c>
      <c r="R189" s="2">
        <v>1.2</v>
      </c>
      <c r="S189" s="2">
        <f t="shared" si="33"/>
        <v>4.45</v>
      </c>
      <c r="T189" s="2"/>
      <c r="U189" s="2"/>
      <c r="Y189" s="8">
        <f t="shared" si="34"/>
        <v>4.2364000000000006</v>
      </c>
    </row>
    <row r="190" spans="1:25" x14ac:dyDescent="0.25">
      <c r="A190" s="34">
        <f t="shared" si="44"/>
        <v>182</v>
      </c>
      <c r="B190" s="35">
        <f t="shared" si="44"/>
        <v>167</v>
      </c>
      <c r="C190" s="42" t="s">
        <v>80</v>
      </c>
      <c r="D190" s="41" t="s">
        <v>56</v>
      </c>
      <c r="E190" s="35">
        <v>2</v>
      </c>
      <c r="F190" s="36">
        <f>169343/1000000</f>
        <v>0.16934299999999999</v>
      </c>
      <c r="G190" s="36">
        <f t="shared" si="41"/>
        <v>3.3360570999999999E-2</v>
      </c>
      <c r="H190" s="36">
        <f>87584/1000000</f>
        <v>8.7583999999999995E-2</v>
      </c>
      <c r="I190" s="37">
        <f t="shared" si="42"/>
        <v>1.3137599999999999E-2</v>
      </c>
      <c r="J190" s="32">
        <f t="shared" si="32"/>
        <v>0.19487440000000003</v>
      </c>
      <c r="K190" s="33">
        <f t="shared" si="35"/>
        <v>2.9231160000000003E-2</v>
      </c>
      <c r="L190" s="33"/>
      <c r="O190" s="2">
        <f t="shared" si="37"/>
        <v>3.6493333333333336E-2</v>
      </c>
      <c r="P190" s="2">
        <f t="shared" si="38"/>
        <v>26.275200000000002</v>
      </c>
      <c r="Q190" s="7">
        <f t="shared" si="39"/>
        <v>119.00000000000001</v>
      </c>
      <c r="R190" s="2">
        <v>1.2</v>
      </c>
      <c r="S190" s="2">
        <f t="shared" si="33"/>
        <v>4.45</v>
      </c>
      <c r="T190" s="2"/>
      <c r="U190" s="2"/>
      <c r="Y190" s="8">
        <f t="shared" si="34"/>
        <v>4.2364000000000006</v>
      </c>
    </row>
    <row r="191" spans="1:25" x14ac:dyDescent="0.25">
      <c r="A191" s="34">
        <f t="shared" si="44"/>
        <v>183</v>
      </c>
      <c r="B191" s="35">
        <f t="shared" si="44"/>
        <v>168</v>
      </c>
      <c r="C191" s="42" t="s">
        <v>80</v>
      </c>
      <c r="D191" s="44" t="s">
        <v>89</v>
      </c>
      <c r="E191" s="43">
        <v>1</v>
      </c>
      <c r="F191" s="36">
        <f>195758/1000000</f>
        <v>0.19575799999999999</v>
      </c>
      <c r="G191" s="36">
        <f t="shared" si="41"/>
        <v>3.8564325999999996E-2</v>
      </c>
      <c r="H191" s="36">
        <f>69008.5/1000000</f>
        <v>6.90085E-2</v>
      </c>
      <c r="I191" s="37">
        <f t="shared" si="42"/>
        <v>1.0351275E-2</v>
      </c>
      <c r="J191" s="32">
        <f t="shared" si="32"/>
        <v>0.15354391250000002</v>
      </c>
      <c r="K191" s="33">
        <f t="shared" si="35"/>
        <v>2.3031586875000003E-2</v>
      </c>
      <c r="L191" s="33"/>
      <c r="O191" s="2">
        <f t="shared" si="37"/>
        <v>2.8753541666666667E-2</v>
      </c>
      <c r="P191" s="2">
        <f t="shared" si="38"/>
        <v>20.702550000000002</v>
      </c>
      <c r="Q191" s="7">
        <f t="shared" si="39"/>
        <v>93.761548913043484</v>
      </c>
      <c r="R191" s="2">
        <v>1.2</v>
      </c>
      <c r="S191" s="2">
        <f t="shared" si="33"/>
        <v>4.45</v>
      </c>
      <c r="T191" s="2"/>
      <c r="U191" s="2"/>
      <c r="Y191" s="8">
        <f t="shared" si="34"/>
        <v>3.3379111413043483</v>
      </c>
    </row>
    <row r="192" spans="1:25" x14ac:dyDescent="0.25">
      <c r="A192" s="34">
        <f t="shared" si="44"/>
        <v>184</v>
      </c>
      <c r="B192" s="35">
        <f t="shared" si="44"/>
        <v>169</v>
      </c>
      <c r="C192" s="42" t="s">
        <v>80</v>
      </c>
      <c r="D192" s="41" t="s">
        <v>89</v>
      </c>
      <c r="E192" s="35">
        <v>2</v>
      </c>
      <c r="F192" s="36">
        <f>195758/1000000</f>
        <v>0.19575799999999999</v>
      </c>
      <c r="G192" s="36">
        <f t="shared" si="41"/>
        <v>3.8564325999999996E-2</v>
      </c>
      <c r="H192" s="36">
        <f>69008.5/1000000</f>
        <v>6.90085E-2</v>
      </c>
      <c r="I192" s="37">
        <f t="shared" si="42"/>
        <v>1.0351275E-2</v>
      </c>
      <c r="J192" s="32">
        <f t="shared" si="32"/>
        <v>0.15354391250000002</v>
      </c>
      <c r="K192" s="33">
        <f t="shared" si="35"/>
        <v>2.3031586875000003E-2</v>
      </c>
      <c r="L192" s="33"/>
      <c r="O192" s="2">
        <f t="shared" si="37"/>
        <v>2.8753541666666667E-2</v>
      </c>
      <c r="P192" s="2">
        <f t="shared" si="38"/>
        <v>20.702550000000002</v>
      </c>
      <c r="Q192" s="7">
        <f t="shared" si="39"/>
        <v>93.761548913043484</v>
      </c>
      <c r="R192" s="2">
        <v>1.2</v>
      </c>
      <c r="S192" s="2">
        <f t="shared" si="33"/>
        <v>4.45</v>
      </c>
      <c r="T192" s="2"/>
      <c r="U192" s="2"/>
      <c r="Y192" s="8">
        <f t="shared" si="34"/>
        <v>3.3379111413043483</v>
      </c>
    </row>
    <row r="193" spans="1:25" x14ac:dyDescent="0.25">
      <c r="A193" s="34">
        <f t="shared" si="44"/>
        <v>185</v>
      </c>
      <c r="B193" s="35">
        <f t="shared" si="44"/>
        <v>170</v>
      </c>
      <c r="C193" s="42" t="s">
        <v>80</v>
      </c>
      <c r="D193" s="44" t="s">
        <v>90</v>
      </c>
      <c r="E193" s="43"/>
      <c r="F193" s="36">
        <f>177913/1000000</f>
        <v>0.17791299999999999</v>
      </c>
      <c r="G193" s="36">
        <f t="shared" si="41"/>
        <v>3.5048861000000001E-2</v>
      </c>
      <c r="H193" s="36">
        <f>73601/1000000</f>
        <v>7.3601E-2</v>
      </c>
      <c r="I193" s="37">
        <f t="shared" si="42"/>
        <v>1.104015E-2</v>
      </c>
      <c r="J193" s="32">
        <f t="shared" si="32"/>
        <v>0.16376222500000001</v>
      </c>
      <c r="K193" s="33">
        <f t="shared" si="35"/>
        <v>2.456433375E-2</v>
      </c>
      <c r="L193" s="33"/>
      <c r="O193" s="2">
        <f t="shared" si="37"/>
        <v>3.0667083333333334E-2</v>
      </c>
      <c r="P193" s="2">
        <f t="shared" si="38"/>
        <v>22.080300000000001</v>
      </c>
      <c r="Q193" s="7">
        <f t="shared" si="39"/>
        <v>100.00135869565219</v>
      </c>
      <c r="R193" s="2">
        <v>1.2</v>
      </c>
      <c r="S193" s="2">
        <f t="shared" si="33"/>
        <v>4.45</v>
      </c>
      <c r="T193" s="2"/>
      <c r="U193" s="2"/>
      <c r="Y193" s="8">
        <f t="shared" si="34"/>
        <v>3.5600483695652176</v>
      </c>
    </row>
    <row r="194" spans="1:25" x14ac:dyDescent="0.25">
      <c r="A194" s="34">
        <f t="shared" si="44"/>
        <v>186</v>
      </c>
      <c r="B194" s="35">
        <f t="shared" si="44"/>
        <v>171</v>
      </c>
      <c r="C194" s="42" t="s">
        <v>80</v>
      </c>
      <c r="D194" s="44" t="s">
        <v>91</v>
      </c>
      <c r="E194" s="43"/>
      <c r="F194" s="36">
        <f>210567/1000000</f>
        <v>0.210567</v>
      </c>
      <c r="G194" s="36">
        <f t="shared" si="41"/>
        <v>4.1481699000000004E-2</v>
      </c>
      <c r="H194" s="36">
        <f>67712/1000000</f>
        <v>6.7711999999999994E-2</v>
      </c>
      <c r="I194" s="37">
        <f t="shared" si="42"/>
        <v>1.0156799999999999E-2</v>
      </c>
      <c r="J194" s="32">
        <f t="shared" si="32"/>
        <v>0.15065919999999999</v>
      </c>
      <c r="K194" s="33">
        <f t="shared" si="35"/>
        <v>2.2598879999999998E-2</v>
      </c>
      <c r="L194" s="33"/>
      <c r="O194" s="2">
        <f t="shared" si="37"/>
        <v>2.8213333333333333E-2</v>
      </c>
      <c r="P194" s="2">
        <f t="shared" si="38"/>
        <v>20.313599999999997</v>
      </c>
      <c r="Q194" s="7">
        <f t="shared" si="39"/>
        <v>91.999999999999986</v>
      </c>
      <c r="R194" s="2">
        <v>1.2</v>
      </c>
      <c r="S194" s="2">
        <f t="shared" si="33"/>
        <v>4.45</v>
      </c>
      <c r="T194" s="2"/>
      <c r="U194" s="2"/>
      <c r="Y194" s="8">
        <f t="shared" si="34"/>
        <v>3.2751999999999999</v>
      </c>
    </row>
    <row r="195" spans="1:25" x14ac:dyDescent="0.25">
      <c r="A195" s="34">
        <f t="shared" si="44"/>
        <v>187</v>
      </c>
      <c r="B195" s="35">
        <f t="shared" si="44"/>
        <v>172</v>
      </c>
      <c r="C195" s="42" t="s">
        <v>80</v>
      </c>
      <c r="D195" s="44" t="s">
        <v>57</v>
      </c>
      <c r="E195" s="43"/>
      <c r="F195" s="36">
        <f>177913/1000000</f>
        <v>0.17791299999999999</v>
      </c>
      <c r="G195" s="36">
        <f t="shared" si="41"/>
        <v>3.5048861000000001E-2</v>
      </c>
      <c r="H195" s="36">
        <f>80959/1000000</f>
        <v>8.0959000000000003E-2</v>
      </c>
      <c r="I195" s="37">
        <f t="shared" si="42"/>
        <v>1.2143849999999999E-2</v>
      </c>
      <c r="J195" s="32">
        <f t="shared" si="32"/>
        <v>0.18013377500000002</v>
      </c>
      <c r="K195" s="33">
        <f t="shared" si="35"/>
        <v>2.7020066250000002E-2</v>
      </c>
      <c r="L195" s="33"/>
      <c r="O195" s="2">
        <f t="shared" si="37"/>
        <v>3.3732916666666668E-2</v>
      </c>
      <c r="P195" s="2">
        <f t="shared" si="38"/>
        <v>24.287700000000001</v>
      </c>
      <c r="Q195" s="7">
        <f t="shared" si="39"/>
        <v>109.99864130434783</v>
      </c>
      <c r="R195" s="2">
        <v>1.2</v>
      </c>
      <c r="S195" s="2">
        <f t="shared" si="33"/>
        <v>4.45</v>
      </c>
      <c r="T195" s="2"/>
      <c r="U195" s="2"/>
      <c r="Y195" s="8">
        <f t="shared" si="34"/>
        <v>3.9159516304347832</v>
      </c>
    </row>
    <row r="196" spans="1:25" x14ac:dyDescent="0.25">
      <c r="A196" s="34">
        <f t="shared" si="44"/>
        <v>188</v>
      </c>
      <c r="B196" s="35">
        <f t="shared" si="44"/>
        <v>173</v>
      </c>
      <c r="C196" s="42" t="s">
        <v>80</v>
      </c>
      <c r="D196" s="44" t="s">
        <v>92</v>
      </c>
      <c r="E196" s="43"/>
      <c r="F196" s="36">
        <f>209081/1000000</f>
        <v>0.20908099999999999</v>
      </c>
      <c r="G196" s="36">
        <f t="shared" si="41"/>
        <v>4.1188956999999998E-2</v>
      </c>
      <c r="H196" s="36">
        <f>69919/1000000</f>
        <v>6.9918999999999995E-2</v>
      </c>
      <c r="I196" s="37">
        <f t="shared" si="42"/>
        <v>1.0487849999999998E-2</v>
      </c>
      <c r="J196" s="32">
        <f t="shared" si="32"/>
        <v>0.15556977499999999</v>
      </c>
      <c r="K196" s="33">
        <f t="shared" si="35"/>
        <v>2.3335466249999999E-2</v>
      </c>
      <c r="L196" s="33"/>
      <c r="O196" s="2">
        <f t="shared" si="37"/>
        <v>2.9132916666666665E-2</v>
      </c>
      <c r="P196" s="2">
        <f t="shared" si="38"/>
        <v>20.9757</v>
      </c>
      <c r="Q196" s="7">
        <f t="shared" si="39"/>
        <v>94.998641304347828</v>
      </c>
      <c r="R196" s="2">
        <v>1.2</v>
      </c>
      <c r="S196" s="2">
        <f t="shared" si="33"/>
        <v>4.45</v>
      </c>
      <c r="T196" s="2"/>
      <c r="U196" s="2"/>
      <c r="Y196" s="8">
        <f t="shared" si="34"/>
        <v>3.3819516304347821</v>
      </c>
    </row>
    <row r="197" spans="1:25" x14ac:dyDescent="0.25">
      <c r="A197" s="34">
        <f t="shared" si="44"/>
        <v>189</v>
      </c>
      <c r="B197" s="35">
        <f t="shared" si="44"/>
        <v>174</v>
      </c>
      <c r="C197" s="42" t="s">
        <v>80</v>
      </c>
      <c r="D197" s="44" t="s">
        <v>58</v>
      </c>
      <c r="E197" s="43"/>
      <c r="F197" s="36">
        <f>177824/1000000</f>
        <v>0.17782400000000001</v>
      </c>
      <c r="G197" s="36">
        <f t="shared" si="41"/>
        <v>3.5031328E-2</v>
      </c>
      <c r="H197" s="36">
        <f>69919/1000000</f>
        <v>6.9918999999999995E-2</v>
      </c>
      <c r="I197" s="37">
        <f t="shared" si="42"/>
        <v>1.0487849999999998E-2</v>
      </c>
      <c r="J197" s="32">
        <f t="shared" si="32"/>
        <v>0.15556977499999999</v>
      </c>
      <c r="K197" s="33">
        <f t="shared" si="35"/>
        <v>2.3335466249999999E-2</v>
      </c>
      <c r="L197" s="33"/>
      <c r="O197" s="2">
        <f t="shared" si="37"/>
        <v>2.9132916666666665E-2</v>
      </c>
      <c r="P197" s="2">
        <f t="shared" si="38"/>
        <v>20.9757</v>
      </c>
      <c r="Q197" s="7">
        <f t="shared" si="39"/>
        <v>94.998641304347828</v>
      </c>
      <c r="R197" s="2">
        <v>1.2</v>
      </c>
      <c r="S197" s="2">
        <f t="shared" si="33"/>
        <v>4.45</v>
      </c>
      <c r="T197" s="2"/>
      <c r="U197" s="2"/>
      <c r="Y197" s="8">
        <f t="shared" si="34"/>
        <v>3.3819516304347821</v>
      </c>
    </row>
    <row r="198" spans="1:25" x14ac:dyDescent="0.25">
      <c r="A198" s="34">
        <f t="shared" si="44"/>
        <v>190</v>
      </c>
      <c r="B198" s="35">
        <f t="shared" si="44"/>
        <v>175</v>
      </c>
      <c r="C198" s="42" t="s">
        <v>80</v>
      </c>
      <c r="D198" s="44" t="s">
        <v>93</v>
      </c>
      <c r="E198" s="43"/>
      <c r="F198" s="36">
        <f>210215/1000000</f>
        <v>0.21021500000000001</v>
      </c>
      <c r="G198" s="36">
        <f t="shared" si="41"/>
        <v>4.1412355000000005E-2</v>
      </c>
      <c r="H198" s="36">
        <f>64766/1000000</f>
        <v>6.4766000000000004E-2</v>
      </c>
      <c r="I198" s="37">
        <f t="shared" si="42"/>
        <v>9.7149000000000003E-3</v>
      </c>
      <c r="J198" s="32">
        <f t="shared" si="32"/>
        <v>0.14410435000000002</v>
      </c>
      <c r="K198" s="33">
        <f t="shared" si="35"/>
        <v>2.1615652500000002E-2</v>
      </c>
      <c r="L198" s="33"/>
      <c r="O198" s="2">
        <f t="shared" si="37"/>
        <v>2.6985833333333337E-2</v>
      </c>
      <c r="P198" s="2">
        <f t="shared" si="38"/>
        <v>19.429800000000004</v>
      </c>
      <c r="Q198" s="7">
        <f t="shared" si="39"/>
        <v>87.99728260869567</v>
      </c>
      <c r="R198" s="2">
        <v>1.2</v>
      </c>
      <c r="S198" s="2">
        <f t="shared" si="33"/>
        <v>4.45</v>
      </c>
      <c r="T198" s="2"/>
      <c r="U198" s="2"/>
      <c r="Y198" s="8">
        <f t="shared" si="34"/>
        <v>3.1327032608695657</v>
      </c>
    </row>
    <row r="199" spans="1:25" x14ac:dyDescent="0.25">
      <c r="A199" s="34">
        <f t="shared" si="44"/>
        <v>191</v>
      </c>
      <c r="B199" s="35">
        <f t="shared" si="44"/>
        <v>176</v>
      </c>
      <c r="C199" s="42" t="s">
        <v>80</v>
      </c>
      <c r="D199" s="44" t="s">
        <v>94</v>
      </c>
      <c r="E199" s="43">
        <v>1</v>
      </c>
      <c r="F199" s="36">
        <f>168802/1000000</f>
        <v>0.16880200000000001</v>
      </c>
      <c r="G199" s="36">
        <f t="shared" si="41"/>
        <v>3.3253994000000002E-2</v>
      </c>
      <c r="H199" s="36">
        <f>81696/1000000</f>
        <v>8.1696000000000005E-2</v>
      </c>
      <c r="I199" s="37">
        <f t="shared" si="42"/>
        <v>1.22544E-2</v>
      </c>
      <c r="J199" s="32">
        <f t="shared" si="32"/>
        <v>0.18177360000000001</v>
      </c>
      <c r="K199" s="33">
        <f t="shared" si="35"/>
        <v>2.7266040000000002E-2</v>
      </c>
      <c r="L199" s="33"/>
      <c r="O199" s="2">
        <f t="shared" si="37"/>
        <v>3.4040000000000001E-2</v>
      </c>
      <c r="P199" s="2">
        <f t="shared" si="38"/>
        <v>24.508800000000001</v>
      </c>
      <c r="Q199" s="7">
        <f t="shared" si="39"/>
        <v>111</v>
      </c>
      <c r="R199" s="2">
        <v>1.2</v>
      </c>
      <c r="S199" s="2">
        <f t="shared" si="33"/>
        <v>4.45</v>
      </c>
      <c r="T199" s="2"/>
      <c r="U199" s="2"/>
      <c r="Y199" s="8">
        <f t="shared" si="34"/>
        <v>3.9516000000000004</v>
      </c>
    </row>
    <row r="200" spans="1:25" x14ac:dyDescent="0.25">
      <c r="A200" s="34">
        <f t="shared" si="44"/>
        <v>192</v>
      </c>
      <c r="B200" s="35">
        <f t="shared" si="44"/>
        <v>177</v>
      </c>
      <c r="C200" s="42" t="s">
        <v>80</v>
      </c>
      <c r="D200" s="41" t="s">
        <v>94</v>
      </c>
      <c r="E200" s="35">
        <v>2</v>
      </c>
      <c r="F200" s="36">
        <f>168802/1000000</f>
        <v>0.16880200000000001</v>
      </c>
      <c r="G200" s="36">
        <f t="shared" si="41"/>
        <v>3.3253994000000002E-2</v>
      </c>
      <c r="H200" s="36">
        <f>81696/1000000</f>
        <v>8.1696000000000005E-2</v>
      </c>
      <c r="I200" s="37">
        <f t="shared" si="42"/>
        <v>1.22544E-2</v>
      </c>
      <c r="J200" s="32">
        <f t="shared" si="32"/>
        <v>0.18177360000000001</v>
      </c>
      <c r="K200" s="33">
        <f t="shared" si="35"/>
        <v>2.7266040000000002E-2</v>
      </c>
      <c r="L200" s="33"/>
      <c r="O200" s="2">
        <f t="shared" si="37"/>
        <v>3.4040000000000001E-2</v>
      </c>
      <c r="P200" s="2">
        <f t="shared" si="38"/>
        <v>24.508800000000001</v>
      </c>
      <c r="Q200" s="7">
        <f t="shared" si="39"/>
        <v>111</v>
      </c>
      <c r="R200" s="2">
        <v>1.2</v>
      </c>
      <c r="S200" s="2">
        <f t="shared" si="33"/>
        <v>4.45</v>
      </c>
      <c r="T200" s="2"/>
      <c r="U200" s="2"/>
      <c r="Y200" s="8">
        <f t="shared" si="34"/>
        <v>3.9516000000000004</v>
      </c>
    </row>
    <row r="201" spans="1:25" x14ac:dyDescent="0.25">
      <c r="A201" s="34">
        <f t="shared" si="44"/>
        <v>193</v>
      </c>
      <c r="B201" s="35">
        <f t="shared" si="44"/>
        <v>178</v>
      </c>
      <c r="C201" s="42" t="s">
        <v>80</v>
      </c>
      <c r="D201" s="44" t="s">
        <v>60</v>
      </c>
      <c r="E201" s="43">
        <v>1</v>
      </c>
      <c r="F201" s="36">
        <f>171043/1000000</f>
        <v>0.171043</v>
      </c>
      <c r="G201" s="36">
        <f t="shared" si="41"/>
        <v>3.3695471000000005E-2</v>
      </c>
      <c r="H201" s="36">
        <f>84272/1000000</f>
        <v>8.4272E-2</v>
      </c>
      <c r="I201" s="37">
        <f t="shared" si="42"/>
        <v>1.2640799999999999E-2</v>
      </c>
      <c r="J201" s="32">
        <f t="shared" ref="J201:J264" si="45">O201*R201*S201</f>
        <v>0.18750520000000001</v>
      </c>
      <c r="K201" s="33">
        <f t="shared" si="35"/>
        <v>2.812578E-2</v>
      </c>
      <c r="L201" s="33"/>
      <c r="O201" s="2">
        <f t="shared" si="37"/>
        <v>3.5113333333333337E-2</v>
      </c>
      <c r="P201" s="2">
        <f t="shared" si="38"/>
        <v>25.281600000000005</v>
      </c>
      <c r="Q201" s="7">
        <f t="shared" si="39"/>
        <v>114.50000000000003</v>
      </c>
      <c r="R201" s="2">
        <v>1.2</v>
      </c>
      <c r="S201" s="2">
        <f t="shared" ref="S201:S264" si="46">IF(Q201&lt;=$AE$6,$AF$6,IF(Q201&lt;=$AE$7,$AF$7,IF(Q201&lt;=$AE$8,$AF$8,IF(Q201&lt;=$AE$9,$AF$9,IF(Q201&lt;=$AE$10,$AF$10,0)))))</f>
        <v>4.45</v>
      </c>
      <c r="T201" s="2"/>
      <c r="U201" s="2"/>
      <c r="Y201" s="8">
        <f t="shared" ref="Y201:Y264" si="47">J201/46*1000</f>
        <v>4.0762</v>
      </c>
    </row>
    <row r="202" spans="1:25" x14ac:dyDescent="0.25">
      <c r="A202" s="34">
        <f t="shared" si="44"/>
        <v>194</v>
      </c>
      <c r="B202" s="35">
        <f t="shared" si="44"/>
        <v>179</v>
      </c>
      <c r="C202" s="42" t="s">
        <v>80</v>
      </c>
      <c r="D202" s="41" t="s">
        <v>60</v>
      </c>
      <c r="E202" s="35">
        <v>2</v>
      </c>
      <c r="F202" s="36">
        <f>171043/1000000</f>
        <v>0.171043</v>
      </c>
      <c r="G202" s="36">
        <f t="shared" si="41"/>
        <v>3.3695471000000005E-2</v>
      </c>
      <c r="H202" s="36">
        <f>84272/1000000</f>
        <v>8.4272E-2</v>
      </c>
      <c r="I202" s="37">
        <f t="shared" si="42"/>
        <v>1.2640799999999999E-2</v>
      </c>
      <c r="J202" s="32">
        <f t="shared" si="45"/>
        <v>0.18750520000000001</v>
      </c>
      <c r="K202" s="33">
        <f t="shared" ref="K202:K265" si="48">J202*0.15</f>
        <v>2.812578E-2</v>
      </c>
      <c r="L202" s="33"/>
      <c r="O202" s="2">
        <f t="shared" si="37"/>
        <v>3.5113333333333337E-2</v>
      </c>
      <c r="P202" s="2">
        <f t="shared" si="38"/>
        <v>25.281600000000005</v>
      </c>
      <c r="Q202" s="7">
        <f t="shared" si="39"/>
        <v>114.50000000000003</v>
      </c>
      <c r="R202" s="2">
        <v>1.2</v>
      </c>
      <c r="S202" s="2">
        <f t="shared" si="46"/>
        <v>4.45</v>
      </c>
      <c r="T202" s="2"/>
      <c r="U202" s="2"/>
      <c r="Y202" s="8">
        <f t="shared" si="47"/>
        <v>4.0762</v>
      </c>
    </row>
    <row r="203" spans="1:25" x14ac:dyDescent="0.25">
      <c r="A203" s="34">
        <f t="shared" ref="A203:B218" si="49">A202+1</f>
        <v>195</v>
      </c>
      <c r="B203" s="35">
        <f t="shared" si="49"/>
        <v>180</v>
      </c>
      <c r="C203" s="42" t="s">
        <v>80</v>
      </c>
      <c r="D203" s="44" t="s">
        <v>62</v>
      </c>
      <c r="E203" s="43">
        <v>1</v>
      </c>
      <c r="F203" s="36">
        <f>171408/1000000</f>
        <v>0.171408</v>
      </c>
      <c r="G203" s="36">
        <f t="shared" si="41"/>
        <v>3.3767376000000002E-2</v>
      </c>
      <c r="H203" s="36">
        <f>80592/1000000</f>
        <v>8.0591999999999997E-2</v>
      </c>
      <c r="I203" s="37">
        <f t="shared" si="42"/>
        <v>1.2088799999999999E-2</v>
      </c>
      <c r="J203" s="32">
        <f t="shared" si="45"/>
        <v>0.17931720000000001</v>
      </c>
      <c r="K203" s="33">
        <f t="shared" si="48"/>
        <v>2.6897580000000001E-2</v>
      </c>
      <c r="L203" s="33"/>
      <c r="O203" s="2">
        <f t="shared" ref="O203:O266" si="50">H203/2.4</f>
        <v>3.3579999999999999E-2</v>
      </c>
      <c r="P203" s="2">
        <f t="shared" ref="P203:P266" si="51">O203*24*30</f>
        <v>24.177599999999998</v>
      </c>
      <c r="Q203" s="7">
        <f t="shared" ref="Q203:Q266" si="52">P203/0.2208</f>
        <v>109.5</v>
      </c>
      <c r="R203" s="2">
        <v>1.2</v>
      </c>
      <c r="S203" s="2">
        <f t="shared" si="46"/>
        <v>4.45</v>
      </c>
      <c r="T203" s="2"/>
      <c r="U203" s="2"/>
      <c r="Y203" s="8">
        <f t="shared" si="47"/>
        <v>3.8982000000000001</v>
      </c>
    </row>
    <row r="204" spans="1:25" x14ac:dyDescent="0.25">
      <c r="A204" s="34">
        <f t="shared" si="49"/>
        <v>196</v>
      </c>
      <c r="B204" s="35">
        <f t="shared" si="49"/>
        <v>181</v>
      </c>
      <c r="C204" s="42" t="s">
        <v>80</v>
      </c>
      <c r="D204" s="41" t="s">
        <v>62</v>
      </c>
      <c r="E204" s="35">
        <v>2</v>
      </c>
      <c r="F204" s="36">
        <f>171408/1000000</f>
        <v>0.171408</v>
      </c>
      <c r="G204" s="36">
        <f t="shared" si="41"/>
        <v>3.3767376000000002E-2</v>
      </c>
      <c r="H204" s="36">
        <f>80592/1000000</f>
        <v>8.0591999999999997E-2</v>
      </c>
      <c r="I204" s="37">
        <f t="shared" si="42"/>
        <v>1.2088799999999999E-2</v>
      </c>
      <c r="J204" s="32">
        <f t="shared" si="45"/>
        <v>0.17931720000000001</v>
      </c>
      <c r="K204" s="33">
        <f t="shared" si="48"/>
        <v>2.6897580000000001E-2</v>
      </c>
      <c r="L204" s="33"/>
      <c r="O204" s="2">
        <f t="shared" si="50"/>
        <v>3.3579999999999999E-2</v>
      </c>
      <c r="P204" s="2">
        <f t="shared" si="51"/>
        <v>24.177599999999998</v>
      </c>
      <c r="Q204" s="7">
        <f t="shared" si="52"/>
        <v>109.5</v>
      </c>
      <c r="R204" s="2">
        <v>1.2</v>
      </c>
      <c r="S204" s="2">
        <f t="shared" si="46"/>
        <v>4.45</v>
      </c>
      <c r="T204" s="2"/>
      <c r="U204" s="2"/>
      <c r="Y204" s="8">
        <f t="shared" si="47"/>
        <v>3.8982000000000001</v>
      </c>
    </row>
    <row r="205" spans="1:25" x14ac:dyDescent="0.25">
      <c r="A205" s="34">
        <f t="shared" si="49"/>
        <v>197</v>
      </c>
      <c r="B205" s="35">
        <f t="shared" si="49"/>
        <v>182</v>
      </c>
      <c r="C205" s="42" t="s">
        <v>80</v>
      </c>
      <c r="D205" s="44" t="s">
        <v>95</v>
      </c>
      <c r="E205" s="43">
        <v>1</v>
      </c>
      <c r="F205" s="36">
        <f>171416.2/1000000</f>
        <v>0.17141620000000002</v>
      </c>
      <c r="G205" s="36">
        <f t="shared" si="41"/>
        <v>3.3768991400000004E-2</v>
      </c>
      <c r="H205" s="36">
        <f>87584/1000000</f>
        <v>8.7583999999999995E-2</v>
      </c>
      <c r="I205" s="37">
        <f t="shared" si="42"/>
        <v>1.3137599999999999E-2</v>
      </c>
      <c r="J205" s="32">
        <f t="shared" si="45"/>
        <v>0.19487440000000003</v>
      </c>
      <c r="K205" s="33">
        <f t="shared" si="48"/>
        <v>2.9231160000000003E-2</v>
      </c>
      <c r="L205" s="33"/>
      <c r="O205" s="2">
        <f t="shared" si="50"/>
        <v>3.6493333333333336E-2</v>
      </c>
      <c r="P205" s="2">
        <f t="shared" si="51"/>
        <v>26.275200000000002</v>
      </c>
      <c r="Q205" s="7">
        <f t="shared" si="52"/>
        <v>119.00000000000001</v>
      </c>
      <c r="R205" s="2">
        <v>1.2</v>
      </c>
      <c r="S205" s="2">
        <f t="shared" si="46"/>
        <v>4.45</v>
      </c>
      <c r="T205" s="2"/>
      <c r="U205" s="2"/>
      <c r="Y205" s="8">
        <f t="shared" si="47"/>
        <v>4.2364000000000006</v>
      </c>
    </row>
    <row r="206" spans="1:25" x14ac:dyDescent="0.25">
      <c r="A206" s="34">
        <f t="shared" si="49"/>
        <v>198</v>
      </c>
      <c r="B206" s="35">
        <f t="shared" si="49"/>
        <v>183</v>
      </c>
      <c r="C206" s="42" t="s">
        <v>80</v>
      </c>
      <c r="D206" s="41" t="s">
        <v>95</v>
      </c>
      <c r="E206" s="35">
        <v>2</v>
      </c>
      <c r="F206" s="36">
        <f>171416.2/1000000</f>
        <v>0.17141620000000002</v>
      </c>
      <c r="G206" s="36">
        <f t="shared" si="41"/>
        <v>3.3768991400000004E-2</v>
      </c>
      <c r="H206" s="36">
        <f>87584/1000000</f>
        <v>8.7583999999999995E-2</v>
      </c>
      <c r="I206" s="37">
        <f t="shared" si="42"/>
        <v>1.3137599999999999E-2</v>
      </c>
      <c r="J206" s="32">
        <f t="shared" si="45"/>
        <v>0.19487440000000003</v>
      </c>
      <c r="K206" s="33">
        <f t="shared" si="48"/>
        <v>2.9231160000000003E-2</v>
      </c>
      <c r="L206" s="33"/>
      <c r="O206" s="2">
        <f t="shared" si="50"/>
        <v>3.6493333333333336E-2</v>
      </c>
      <c r="P206" s="2">
        <f t="shared" si="51"/>
        <v>26.275200000000002</v>
      </c>
      <c r="Q206" s="7">
        <f t="shared" si="52"/>
        <v>119.00000000000001</v>
      </c>
      <c r="R206" s="2">
        <v>1.2</v>
      </c>
      <c r="S206" s="2">
        <f t="shared" si="46"/>
        <v>4.45</v>
      </c>
      <c r="T206" s="2"/>
      <c r="U206" s="2"/>
      <c r="Y206" s="8">
        <f t="shared" si="47"/>
        <v>4.2364000000000006</v>
      </c>
    </row>
    <row r="207" spans="1:25" x14ac:dyDescent="0.25">
      <c r="A207" s="34">
        <f t="shared" si="49"/>
        <v>199</v>
      </c>
      <c r="B207" s="35">
        <f t="shared" si="49"/>
        <v>184</v>
      </c>
      <c r="C207" s="42" t="s">
        <v>80</v>
      </c>
      <c r="D207" s="44" t="s">
        <v>96</v>
      </c>
      <c r="E207" s="43">
        <v>1</v>
      </c>
      <c r="F207" s="36">
        <f>167950/1000000</f>
        <v>0.16794999999999999</v>
      </c>
      <c r="G207" s="36">
        <f t="shared" si="41"/>
        <v>3.3086150000000002E-2</v>
      </c>
      <c r="H207" s="36">
        <f>87216/1000000</f>
        <v>8.7216000000000002E-2</v>
      </c>
      <c r="I207" s="37">
        <f t="shared" si="42"/>
        <v>1.3082399999999999E-2</v>
      </c>
      <c r="J207" s="32">
        <f t="shared" si="45"/>
        <v>0.19405560000000002</v>
      </c>
      <c r="K207" s="33">
        <f t="shared" si="48"/>
        <v>2.9108340000000003E-2</v>
      </c>
      <c r="L207" s="33"/>
      <c r="O207" s="2">
        <f t="shared" si="50"/>
        <v>3.6340000000000004E-2</v>
      </c>
      <c r="P207" s="2">
        <f t="shared" si="51"/>
        <v>26.1648</v>
      </c>
      <c r="Q207" s="7">
        <f t="shared" si="52"/>
        <v>118.5</v>
      </c>
      <c r="R207" s="2">
        <v>1.2</v>
      </c>
      <c r="S207" s="2">
        <f t="shared" si="46"/>
        <v>4.45</v>
      </c>
      <c r="T207" s="2"/>
      <c r="U207" s="2"/>
      <c r="Y207" s="8">
        <f t="shared" si="47"/>
        <v>4.2186000000000003</v>
      </c>
    </row>
    <row r="208" spans="1:25" x14ac:dyDescent="0.25">
      <c r="A208" s="34">
        <f t="shared" si="49"/>
        <v>200</v>
      </c>
      <c r="B208" s="35">
        <f t="shared" si="49"/>
        <v>185</v>
      </c>
      <c r="C208" s="42" t="s">
        <v>80</v>
      </c>
      <c r="D208" s="41" t="s">
        <v>96</v>
      </c>
      <c r="E208" s="35">
        <v>2</v>
      </c>
      <c r="F208" s="36">
        <f>167950/1000000</f>
        <v>0.16794999999999999</v>
      </c>
      <c r="G208" s="36">
        <f t="shared" si="41"/>
        <v>3.3086150000000002E-2</v>
      </c>
      <c r="H208" s="36">
        <f>87216/1000000</f>
        <v>8.7216000000000002E-2</v>
      </c>
      <c r="I208" s="37">
        <f t="shared" si="42"/>
        <v>1.3082399999999999E-2</v>
      </c>
      <c r="J208" s="32">
        <f t="shared" si="45"/>
        <v>0.19405560000000002</v>
      </c>
      <c r="K208" s="33">
        <f t="shared" si="48"/>
        <v>2.9108340000000003E-2</v>
      </c>
      <c r="L208" s="33"/>
      <c r="O208" s="2">
        <f t="shared" si="50"/>
        <v>3.6340000000000004E-2</v>
      </c>
      <c r="P208" s="2">
        <f t="shared" si="51"/>
        <v>26.1648</v>
      </c>
      <c r="Q208" s="7">
        <f t="shared" si="52"/>
        <v>118.5</v>
      </c>
      <c r="R208" s="2">
        <v>1.2</v>
      </c>
      <c r="S208" s="2">
        <f t="shared" si="46"/>
        <v>4.45</v>
      </c>
      <c r="T208" s="2"/>
      <c r="U208" s="2"/>
      <c r="Y208" s="8">
        <f t="shared" si="47"/>
        <v>4.2186000000000003</v>
      </c>
    </row>
    <row r="209" spans="1:25" x14ac:dyDescent="0.25">
      <c r="A209" s="34">
        <f t="shared" si="49"/>
        <v>201</v>
      </c>
      <c r="B209" s="35">
        <f t="shared" si="49"/>
        <v>186</v>
      </c>
      <c r="C209" s="42" t="s">
        <v>80</v>
      </c>
      <c r="D209" s="41" t="s">
        <v>97</v>
      </c>
      <c r="E209" s="35"/>
      <c r="F209" s="36">
        <f>167950/1000000</f>
        <v>0.16794999999999999</v>
      </c>
      <c r="G209" s="36">
        <f t="shared" si="41"/>
        <v>3.3086150000000002E-2</v>
      </c>
      <c r="H209" s="36">
        <f>79330/1000000</f>
        <v>7.9329999999999998E-2</v>
      </c>
      <c r="I209" s="37">
        <f t="shared" si="42"/>
        <v>1.1899499999999999E-2</v>
      </c>
      <c r="J209" s="32">
        <f t="shared" si="45"/>
        <v>0.17650925000000001</v>
      </c>
      <c r="K209" s="33">
        <f t="shared" si="48"/>
        <v>2.64763875E-2</v>
      </c>
      <c r="L209" s="33"/>
      <c r="O209" s="2">
        <f t="shared" si="50"/>
        <v>3.3054166666666669E-2</v>
      </c>
      <c r="P209" s="2">
        <f t="shared" si="51"/>
        <v>23.799000000000003</v>
      </c>
      <c r="Q209" s="7">
        <f t="shared" si="52"/>
        <v>107.78532608695653</v>
      </c>
      <c r="R209" s="2">
        <v>1.2</v>
      </c>
      <c r="S209" s="2">
        <f t="shared" si="46"/>
        <v>4.45</v>
      </c>
      <c r="T209" s="2"/>
      <c r="U209" s="2"/>
      <c r="Y209" s="8">
        <f t="shared" si="47"/>
        <v>3.8371576086956525</v>
      </c>
    </row>
    <row r="210" spans="1:25" x14ac:dyDescent="0.25">
      <c r="A210" s="34">
        <f t="shared" si="49"/>
        <v>202</v>
      </c>
      <c r="B210" s="35">
        <f t="shared" si="49"/>
        <v>187</v>
      </c>
      <c r="C210" s="42" t="s">
        <v>80</v>
      </c>
      <c r="D210" s="44" t="s">
        <v>34</v>
      </c>
      <c r="E210" s="43">
        <v>1</v>
      </c>
      <c r="F210" s="36">
        <f>169322/1000000</f>
        <v>0.169322</v>
      </c>
      <c r="G210" s="36">
        <f t="shared" si="41"/>
        <v>3.3356434000000004E-2</v>
      </c>
      <c r="H210" s="36">
        <f>78752/1000000</f>
        <v>7.8752000000000003E-2</v>
      </c>
      <c r="I210" s="37">
        <f t="shared" si="42"/>
        <v>1.18128E-2</v>
      </c>
      <c r="J210" s="32">
        <f t="shared" si="45"/>
        <v>0.17522320000000002</v>
      </c>
      <c r="K210" s="33">
        <f t="shared" si="48"/>
        <v>2.6283480000000001E-2</v>
      </c>
      <c r="L210" s="33"/>
      <c r="O210" s="2">
        <f t="shared" si="50"/>
        <v>3.2813333333333333E-2</v>
      </c>
      <c r="P210" s="2">
        <f t="shared" si="51"/>
        <v>23.625599999999999</v>
      </c>
      <c r="Q210" s="7">
        <f t="shared" si="52"/>
        <v>107</v>
      </c>
      <c r="R210" s="2">
        <v>1.2</v>
      </c>
      <c r="S210" s="2">
        <f t="shared" si="46"/>
        <v>4.45</v>
      </c>
      <c r="T210" s="2"/>
      <c r="U210" s="2"/>
      <c r="Y210" s="8">
        <f t="shared" si="47"/>
        <v>3.8092000000000006</v>
      </c>
    </row>
    <row r="211" spans="1:25" x14ac:dyDescent="0.25">
      <c r="A211" s="34">
        <f t="shared" si="49"/>
        <v>203</v>
      </c>
      <c r="B211" s="35">
        <f t="shared" si="49"/>
        <v>188</v>
      </c>
      <c r="C211" s="42" t="s">
        <v>80</v>
      </c>
      <c r="D211" s="41" t="s">
        <v>34</v>
      </c>
      <c r="E211" s="35">
        <v>2</v>
      </c>
      <c r="F211" s="36">
        <f>169322/1000000</f>
        <v>0.169322</v>
      </c>
      <c r="G211" s="36">
        <f t="shared" si="41"/>
        <v>3.3356434000000004E-2</v>
      </c>
      <c r="H211" s="36">
        <f>78752/1000000</f>
        <v>7.8752000000000003E-2</v>
      </c>
      <c r="I211" s="37">
        <f t="shared" si="42"/>
        <v>1.18128E-2</v>
      </c>
      <c r="J211" s="32">
        <f t="shared" si="45"/>
        <v>0.17522320000000002</v>
      </c>
      <c r="K211" s="33">
        <f t="shared" si="48"/>
        <v>2.6283480000000001E-2</v>
      </c>
      <c r="L211" s="33"/>
      <c r="O211" s="2">
        <f t="shared" si="50"/>
        <v>3.2813333333333333E-2</v>
      </c>
      <c r="P211" s="2">
        <f t="shared" si="51"/>
        <v>23.625599999999999</v>
      </c>
      <c r="Q211" s="7">
        <f t="shared" si="52"/>
        <v>107</v>
      </c>
      <c r="R211" s="2">
        <v>1.2</v>
      </c>
      <c r="S211" s="2">
        <f t="shared" si="46"/>
        <v>4.45</v>
      </c>
      <c r="T211" s="2"/>
      <c r="U211" s="2"/>
      <c r="Y211" s="8">
        <f t="shared" si="47"/>
        <v>3.8092000000000006</v>
      </c>
    </row>
    <row r="212" spans="1:25" x14ac:dyDescent="0.25">
      <c r="A212" s="34">
        <f t="shared" si="49"/>
        <v>204</v>
      </c>
      <c r="B212" s="35">
        <f t="shared" si="49"/>
        <v>189</v>
      </c>
      <c r="C212" s="42" t="s">
        <v>80</v>
      </c>
      <c r="D212" s="44" t="s">
        <v>98</v>
      </c>
      <c r="E212" s="43">
        <v>1</v>
      </c>
      <c r="F212" s="36">
        <f>171348/1000000</f>
        <v>0.171348</v>
      </c>
      <c r="G212" s="36">
        <f t="shared" si="41"/>
        <v>3.3755555999999999E-2</v>
      </c>
      <c r="H212" s="36">
        <f>84640/1000000</f>
        <v>8.4640000000000007E-2</v>
      </c>
      <c r="I212" s="37">
        <f t="shared" si="42"/>
        <v>1.2696000000000001E-2</v>
      </c>
      <c r="J212" s="32">
        <f t="shared" si="45"/>
        <v>0.18832400000000002</v>
      </c>
      <c r="K212" s="33">
        <f t="shared" si="48"/>
        <v>2.8248600000000002E-2</v>
      </c>
      <c r="L212" s="33"/>
      <c r="O212" s="2">
        <f t="shared" si="50"/>
        <v>3.5266666666666668E-2</v>
      </c>
      <c r="P212" s="2">
        <f t="shared" si="51"/>
        <v>25.392000000000003</v>
      </c>
      <c r="Q212" s="7">
        <f t="shared" si="52"/>
        <v>115.00000000000001</v>
      </c>
      <c r="R212" s="2">
        <v>1.2</v>
      </c>
      <c r="S212" s="2">
        <f t="shared" si="46"/>
        <v>4.45</v>
      </c>
      <c r="T212" s="2"/>
      <c r="U212" s="2"/>
      <c r="Y212" s="8">
        <f t="shared" si="47"/>
        <v>4.0940000000000003</v>
      </c>
    </row>
    <row r="213" spans="1:25" x14ac:dyDescent="0.25">
      <c r="A213" s="34">
        <f t="shared" si="49"/>
        <v>205</v>
      </c>
      <c r="B213" s="35">
        <f t="shared" si="49"/>
        <v>190</v>
      </c>
      <c r="C213" s="42" t="s">
        <v>80</v>
      </c>
      <c r="D213" s="41" t="s">
        <v>98</v>
      </c>
      <c r="E213" s="35">
        <v>2</v>
      </c>
      <c r="F213" s="36">
        <f>171348/1000000</f>
        <v>0.171348</v>
      </c>
      <c r="G213" s="36">
        <f t="shared" si="41"/>
        <v>3.3755555999999999E-2</v>
      </c>
      <c r="H213" s="36">
        <f>84640/1000000</f>
        <v>8.4640000000000007E-2</v>
      </c>
      <c r="I213" s="37">
        <f t="shared" si="42"/>
        <v>1.2696000000000001E-2</v>
      </c>
      <c r="J213" s="32">
        <f t="shared" si="45"/>
        <v>0.18832400000000002</v>
      </c>
      <c r="K213" s="33">
        <f t="shared" si="48"/>
        <v>2.8248600000000002E-2</v>
      </c>
      <c r="L213" s="33"/>
      <c r="O213" s="2">
        <f t="shared" si="50"/>
        <v>3.5266666666666668E-2</v>
      </c>
      <c r="P213" s="2">
        <f t="shared" si="51"/>
        <v>25.392000000000003</v>
      </c>
      <c r="Q213" s="7">
        <f t="shared" si="52"/>
        <v>115.00000000000001</v>
      </c>
      <c r="R213" s="2">
        <v>1.2</v>
      </c>
      <c r="S213" s="2">
        <f t="shared" si="46"/>
        <v>4.45</v>
      </c>
      <c r="T213" s="2"/>
      <c r="U213" s="2"/>
      <c r="Y213" s="8">
        <f t="shared" si="47"/>
        <v>4.0940000000000003</v>
      </c>
    </row>
    <row r="214" spans="1:25" x14ac:dyDescent="0.25">
      <c r="A214" s="34">
        <f t="shared" si="49"/>
        <v>206</v>
      </c>
      <c r="B214" s="35">
        <f t="shared" si="49"/>
        <v>191</v>
      </c>
      <c r="C214" s="42" t="s">
        <v>80</v>
      </c>
      <c r="D214" s="44" t="s">
        <v>99</v>
      </c>
      <c r="E214" s="43">
        <v>1</v>
      </c>
      <c r="F214" s="36">
        <f>171297/1000000</f>
        <v>0.171297</v>
      </c>
      <c r="G214" s="36">
        <f t="shared" si="41"/>
        <v>3.3745509E-2</v>
      </c>
      <c r="H214" s="36">
        <f>80961/1000000</f>
        <v>8.0961000000000005E-2</v>
      </c>
      <c r="I214" s="37">
        <f t="shared" si="42"/>
        <v>1.2144150000000001E-2</v>
      </c>
      <c r="J214" s="32">
        <f t="shared" si="45"/>
        <v>0.18013822500000004</v>
      </c>
      <c r="K214" s="33">
        <f t="shared" si="48"/>
        <v>2.7020733750000005E-2</v>
      </c>
      <c r="L214" s="33"/>
      <c r="O214" s="2">
        <f t="shared" si="50"/>
        <v>3.3733750000000007E-2</v>
      </c>
      <c r="P214" s="2">
        <f t="shared" si="51"/>
        <v>24.288300000000007</v>
      </c>
      <c r="Q214" s="7">
        <f t="shared" si="52"/>
        <v>110.0013586956522</v>
      </c>
      <c r="R214" s="2">
        <v>1.2</v>
      </c>
      <c r="S214" s="2">
        <f t="shared" si="46"/>
        <v>4.45</v>
      </c>
      <c r="T214" s="2"/>
      <c r="U214" s="2"/>
      <c r="Y214" s="8">
        <f t="shared" si="47"/>
        <v>3.916048369565218</v>
      </c>
    </row>
    <row r="215" spans="1:25" x14ac:dyDescent="0.25">
      <c r="A215" s="34">
        <f t="shared" si="49"/>
        <v>207</v>
      </c>
      <c r="B215" s="35">
        <f t="shared" si="49"/>
        <v>192</v>
      </c>
      <c r="C215" s="42" t="s">
        <v>80</v>
      </c>
      <c r="D215" s="41" t="s">
        <v>99</v>
      </c>
      <c r="E215" s="35">
        <v>2</v>
      </c>
      <c r="F215" s="36">
        <f>171297/1000000</f>
        <v>0.171297</v>
      </c>
      <c r="G215" s="36">
        <f t="shared" si="41"/>
        <v>3.3745509E-2</v>
      </c>
      <c r="H215" s="36">
        <f>80961/1000000</f>
        <v>8.0961000000000005E-2</v>
      </c>
      <c r="I215" s="37">
        <f t="shared" si="42"/>
        <v>1.2144150000000001E-2</v>
      </c>
      <c r="J215" s="32">
        <f t="shared" si="45"/>
        <v>0.18013822500000004</v>
      </c>
      <c r="K215" s="33">
        <f t="shared" si="48"/>
        <v>2.7020733750000005E-2</v>
      </c>
      <c r="L215" s="33"/>
      <c r="O215" s="2">
        <f t="shared" si="50"/>
        <v>3.3733750000000007E-2</v>
      </c>
      <c r="P215" s="2">
        <f t="shared" si="51"/>
        <v>24.288300000000007</v>
      </c>
      <c r="Q215" s="7">
        <f t="shared" si="52"/>
        <v>110.0013586956522</v>
      </c>
      <c r="R215" s="2">
        <v>1.2</v>
      </c>
      <c r="S215" s="2">
        <f t="shared" si="46"/>
        <v>4.45</v>
      </c>
      <c r="T215" s="2"/>
      <c r="U215" s="2"/>
      <c r="Y215" s="8">
        <f t="shared" si="47"/>
        <v>3.916048369565218</v>
      </c>
    </row>
    <row r="216" spans="1:25" x14ac:dyDescent="0.25">
      <c r="A216" s="34">
        <f t="shared" si="49"/>
        <v>208</v>
      </c>
      <c r="B216" s="35">
        <f t="shared" si="49"/>
        <v>193</v>
      </c>
      <c r="C216" s="42" t="s">
        <v>80</v>
      </c>
      <c r="D216" s="44" t="s">
        <v>100</v>
      </c>
      <c r="E216" s="43">
        <v>1</v>
      </c>
      <c r="F216" s="36">
        <f>170405/1000000</f>
        <v>0.170405</v>
      </c>
      <c r="G216" s="36">
        <f t="shared" si="41"/>
        <v>3.3569785000000005E-2</v>
      </c>
      <c r="H216" s="36">
        <f>83168/1000000</f>
        <v>8.3168000000000006E-2</v>
      </c>
      <c r="I216" s="37">
        <f t="shared" si="42"/>
        <v>1.2475200000000001E-2</v>
      </c>
      <c r="J216" s="32">
        <f t="shared" si="45"/>
        <v>0.18504880000000001</v>
      </c>
      <c r="K216" s="33">
        <f t="shared" si="48"/>
        <v>2.7757320000000002E-2</v>
      </c>
      <c r="L216" s="33"/>
      <c r="O216" s="2">
        <f t="shared" si="50"/>
        <v>3.4653333333333335E-2</v>
      </c>
      <c r="P216" s="2">
        <f t="shared" si="51"/>
        <v>24.950399999999998</v>
      </c>
      <c r="Q216" s="7">
        <f t="shared" si="52"/>
        <v>113</v>
      </c>
      <c r="R216" s="2">
        <v>1.2</v>
      </c>
      <c r="S216" s="2">
        <f t="shared" si="46"/>
        <v>4.45</v>
      </c>
      <c r="T216" s="2"/>
      <c r="U216" s="2"/>
      <c r="Y216" s="8">
        <f t="shared" si="47"/>
        <v>4.0228000000000002</v>
      </c>
    </row>
    <row r="217" spans="1:25" x14ac:dyDescent="0.25">
      <c r="A217" s="34">
        <f t="shared" si="49"/>
        <v>209</v>
      </c>
      <c r="B217" s="35">
        <f t="shared" si="49"/>
        <v>194</v>
      </c>
      <c r="C217" s="42" t="s">
        <v>80</v>
      </c>
      <c r="D217" s="41" t="s">
        <v>100</v>
      </c>
      <c r="E217" s="35">
        <v>2</v>
      </c>
      <c r="F217" s="36">
        <f>170405/1000000</f>
        <v>0.170405</v>
      </c>
      <c r="G217" s="36">
        <f t="shared" si="41"/>
        <v>3.3569785000000005E-2</v>
      </c>
      <c r="H217" s="36">
        <f>83168/1000000</f>
        <v>8.3168000000000006E-2</v>
      </c>
      <c r="I217" s="37">
        <f t="shared" si="42"/>
        <v>1.2475200000000001E-2</v>
      </c>
      <c r="J217" s="32">
        <f t="shared" si="45"/>
        <v>0.18504880000000001</v>
      </c>
      <c r="K217" s="33">
        <f t="shared" si="48"/>
        <v>2.7757320000000002E-2</v>
      </c>
      <c r="L217" s="33"/>
      <c r="O217" s="2">
        <f t="shared" si="50"/>
        <v>3.4653333333333335E-2</v>
      </c>
      <c r="P217" s="2">
        <f t="shared" si="51"/>
        <v>24.950399999999998</v>
      </c>
      <c r="Q217" s="7">
        <f t="shared" si="52"/>
        <v>113</v>
      </c>
      <c r="R217" s="2">
        <v>1.2</v>
      </c>
      <c r="S217" s="2">
        <f t="shared" si="46"/>
        <v>4.45</v>
      </c>
      <c r="T217" s="2"/>
      <c r="U217" s="2"/>
      <c r="Y217" s="8">
        <f t="shared" si="47"/>
        <v>4.0228000000000002</v>
      </c>
    </row>
    <row r="218" spans="1:25" x14ac:dyDescent="0.25">
      <c r="A218" s="34">
        <f t="shared" si="49"/>
        <v>210</v>
      </c>
      <c r="B218" s="35">
        <f>B217+1</f>
        <v>195</v>
      </c>
      <c r="C218" s="42" t="s">
        <v>80</v>
      </c>
      <c r="D218" s="44" t="s">
        <v>101</v>
      </c>
      <c r="E218" s="43">
        <v>1</v>
      </c>
      <c r="F218" s="36">
        <f>171348/1000000</f>
        <v>0.171348</v>
      </c>
      <c r="G218" s="36">
        <f t="shared" si="41"/>
        <v>3.3755555999999999E-2</v>
      </c>
      <c r="H218" s="36">
        <f>87216/1000000</f>
        <v>8.7216000000000002E-2</v>
      </c>
      <c r="I218" s="37">
        <f t="shared" si="42"/>
        <v>1.3082399999999999E-2</v>
      </c>
      <c r="J218" s="32">
        <f t="shared" si="45"/>
        <v>0.19405560000000002</v>
      </c>
      <c r="K218" s="33">
        <f t="shared" si="48"/>
        <v>2.9108340000000003E-2</v>
      </c>
      <c r="L218" s="33"/>
      <c r="O218" s="2">
        <f t="shared" si="50"/>
        <v>3.6340000000000004E-2</v>
      </c>
      <c r="P218" s="2">
        <f t="shared" si="51"/>
        <v>26.1648</v>
      </c>
      <c r="Q218" s="7">
        <f t="shared" si="52"/>
        <v>118.5</v>
      </c>
      <c r="R218" s="2">
        <v>1.2</v>
      </c>
      <c r="S218" s="2">
        <f t="shared" si="46"/>
        <v>4.45</v>
      </c>
      <c r="T218" s="2"/>
      <c r="U218" s="2"/>
      <c r="Y218" s="8">
        <f t="shared" si="47"/>
        <v>4.2186000000000003</v>
      </c>
    </row>
    <row r="219" spans="1:25" x14ac:dyDescent="0.25">
      <c r="A219" s="34">
        <f t="shared" ref="A219:B243" si="53">A218+1</f>
        <v>211</v>
      </c>
      <c r="B219" s="35">
        <f>B218+1</f>
        <v>196</v>
      </c>
      <c r="C219" s="42" t="s">
        <v>80</v>
      </c>
      <c r="D219" s="41" t="s">
        <v>101</v>
      </c>
      <c r="E219" s="35">
        <v>2</v>
      </c>
      <c r="F219" s="36">
        <f>171348/1000000</f>
        <v>0.171348</v>
      </c>
      <c r="G219" s="36">
        <f t="shared" si="41"/>
        <v>3.3755555999999999E-2</v>
      </c>
      <c r="H219" s="36">
        <f>87216/1000000</f>
        <v>8.7216000000000002E-2</v>
      </c>
      <c r="I219" s="37">
        <f t="shared" si="42"/>
        <v>1.3082399999999999E-2</v>
      </c>
      <c r="J219" s="32">
        <f t="shared" si="45"/>
        <v>0.19405560000000002</v>
      </c>
      <c r="K219" s="33">
        <f t="shared" si="48"/>
        <v>2.9108340000000003E-2</v>
      </c>
      <c r="L219" s="33"/>
      <c r="O219" s="2">
        <f t="shared" si="50"/>
        <v>3.6340000000000004E-2</v>
      </c>
      <c r="P219" s="2">
        <f t="shared" si="51"/>
        <v>26.1648</v>
      </c>
      <c r="Q219" s="7">
        <f t="shared" si="52"/>
        <v>118.5</v>
      </c>
      <c r="R219" s="2">
        <v>1.2</v>
      </c>
      <c r="S219" s="2">
        <f t="shared" si="46"/>
        <v>4.45</v>
      </c>
      <c r="T219" s="2"/>
      <c r="U219" s="2"/>
      <c r="Y219" s="8">
        <f t="shared" si="47"/>
        <v>4.2186000000000003</v>
      </c>
    </row>
    <row r="220" spans="1:25" x14ac:dyDescent="0.25">
      <c r="A220" s="34">
        <f t="shared" si="53"/>
        <v>212</v>
      </c>
      <c r="B220" s="35">
        <f>B219+1</f>
        <v>197</v>
      </c>
      <c r="C220" s="42" t="s">
        <v>80</v>
      </c>
      <c r="D220" s="44" t="s">
        <v>102</v>
      </c>
      <c r="E220" s="43">
        <v>1</v>
      </c>
      <c r="F220" s="36">
        <f>171348.2/1000000</f>
        <v>0.17134820000000001</v>
      </c>
      <c r="G220" s="36">
        <f t="shared" si="41"/>
        <v>3.3755595400000005E-2</v>
      </c>
      <c r="H220" s="36">
        <f>86480/1000000</f>
        <v>8.6480000000000001E-2</v>
      </c>
      <c r="I220" s="37">
        <f t="shared" si="42"/>
        <v>1.2971999999999999E-2</v>
      </c>
      <c r="J220" s="32">
        <f t="shared" si="45"/>
        <v>0.19241800000000001</v>
      </c>
      <c r="K220" s="33">
        <f t="shared" si="48"/>
        <v>2.8862699999999998E-2</v>
      </c>
      <c r="L220" s="33"/>
      <c r="O220" s="2">
        <f t="shared" si="50"/>
        <v>3.6033333333333334E-2</v>
      </c>
      <c r="P220" s="2">
        <f t="shared" si="51"/>
        <v>25.943999999999999</v>
      </c>
      <c r="Q220" s="7">
        <f t="shared" si="52"/>
        <v>117.5</v>
      </c>
      <c r="R220" s="2">
        <v>1.2</v>
      </c>
      <c r="S220" s="2">
        <f t="shared" si="46"/>
        <v>4.45</v>
      </c>
      <c r="T220" s="2"/>
      <c r="U220" s="2"/>
      <c r="Y220" s="8">
        <f t="shared" si="47"/>
        <v>4.1829999999999998</v>
      </c>
    </row>
    <row r="221" spans="1:25" x14ac:dyDescent="0.25">
      <c r="A221" s="34">
        <f t="shared" si="53"/>
        <v>213</v>
      </c>
      <c r="B221" s="35">
        <f>B220+1</f>
        <v>198</v>
      </c>
      <c r="C221" s="42" t="s">
        <v>80</v>
      </c>
      <c r="D221" s="41" t="s">
        <v>102</v>
      </c>
      <c r="E221" s="35">
        <v>2</v>
      </c>
      <c r="F221" s="36">
        <f>171348.2/1000000</f>
        <v>0.17134820000000001</v>
      </c>
      <c r="G221" s="36">
        <f t="shared" si="41"/>
        <v>3.3755595400000005E-2</v>
      </c>
      <c r="H221" s="36">
        <f>86480/1000000</f>
        <v>8.6480000000000001E-2</v>
      </c>
      <c r="I221" s="37">
        <f t="shared" si="42"/>
        <v>1.2971999999999999E-2</v>
      </c>
      <c r="J221" s="32">
        <f t="shared" si="45"/>
        <v>0.19241800000000001</v>
      </c>
      <c r="K221" s="33">
        <f t="shared" si="48"/>
        <v>2.8862699999999998E-2</v>
      </c>
      <c r="L221" s="33"/>
      <c r="O221" s="2">
        <f t="shared" si="50"/>
        <v>3.6033333333333334E-2</v>
      </c>
      <c r="P221" s="2">
        <f t="shared" si="51"/>
        <v>25.943999999999999</v>
      </c>
      <c r="Q221" s="7">
        <f t="shared" si="52"/>
        <v>117.5</v>
      </c>
      <c r="R221" s="2">
        <v>1.2</v>
      </c>
      <c r="S221" s="2">
        <f t="shared" si="46"/>
        <v>4.45</v>
      </c>
      <c r="T221" s="2"/>
      <c r="U221" s="2"/>
      <c r="Y221" s="8">
        <f t="shared" si="47"/>
        <v>4.1829999999999998</v>
      </c>
    </row>
    <row r="222" spans="1:25" x14ac:dyDescent="0.25">
      <c r="A222" s="34">
        <f t="shared" si="53"/>
        <v>214</v>
      </c>
      <c r="B222" s="35"/>
      <c r="C222" s="42" t="s">
        <v>80</v>
      </c>
      <c r="D222" s="35">
        <v>28</v>
      </c>
      <c r="E222" s="35">
        <v>1</v>
      </c>
      <c r="F222" s="36">
        <f>443000/1000000/2</f>
        <v>0.2215</v>
      </c>
      <c r="G222" s="36">
        <f t="shared" si="41"/>
        <v>4.3635500000000001E-2</v>
      </c>
      <c r="H222" s="36">
        <f>157500/1000000/2</f>
        <v>7.8750000000000001E-2</v>
      </c>
      <c r="I222" s="37">
        <f>H222*0.15</f>
        <v>1.18125E-2</v>
      </c>
      <c r="J222" s="32">
        <f t="shared" si="45"/>
        <v>0.17521875000000001</v>
      </c>
      <c r="K222" s="33">
        <f t="shared" si="48"/>
        <v>2.6282812499999999E-2</v>
      </c>
      <c r="L222" s="33"/>
      <c r="O222" s="2">
        <f t="shared" si="50"/>
        <v>3.2812500000000001E-2</v>
      </c>
      <c r="P222" s="2">
        <f t="shared" si="51"/>
        <v>23.625000000000004</v>
      </c>
      <c r="Q222" s="7">
        <f t="shared" si="52"/>
        <v>106.99728260869567</v>
      </c>
      <c r="R222" s="2">
        <v>1.2</v>
      </c>
      <c r="S222" s="2">
        <f t="shared" si="46"/>
        <v>4.45</v>
      </c>
      <c r="T222" s="2"/>
      <c r="U222" s="2"/>
      <c r="Y222" s="8">
        <f t="shared" si="47"/>
        <v>3.8091032608695654</v>
      </c>
    </row>
    <row r="223" spans="1:25" x14ac:dyDescent="0.25">
      <c r="A223" s="34">
        <f t="shared" si="53"/>
        <v>215</v>
      </c>
      <c r="B223" s="35"/>
      <c r="C223" s="42" t="s">
        <v>80</v>
      </c>
      <c r="D223" s="35">
        <v>28</v>
      </c>
      <c r="E223" s="35">
        <v>2</v>
      </c>
      <c r="F223" s="36">
        <f>443000/1000000/2</f>
        <v>0.2215</v>
      </c>
      <c r="G223" s="36">
        <f t="shared" si="41"/>
        <v>4.3635500000000001E-2</v>
      </c>
      <c r="H223" s="36">
        <f>157500/1000000/2</f>
        <v>7.8750000000000001E-2</v>
      </c>
      <c r="I223" s="37">
        <f>H223*0.15</f>
        <v>1.18125E-2</v>
      </c>
      <c r="J223" s="32">
        <f t="shared" si="45"/>
        <v>0.17521875000000001</v>
      </c>
      <c r="K223" s="33">
        <f t="shared" si="48"/>
        <v>2.6282812499999999E-2</v>
      </c>
      <c r="L223" s="33"/>
      <c r="O223" s="2">
        <f t="shared" si="50"/>
        <v>3.2812500000000001E-2</v>
      </c>
      <c r="P223" s="2">
        <f t="shared" si="51"/>
        <v>23.625000000000004</v>
      </c>
      <c r="Q223" s="7">
        <f t="shared" si="52"/>
        <v>106.99728260869567</v>
      </c>
      <c r="R223" s="2">
        <v>1.2</v>
      </c>
      <c r="S223" s="2">
        <f t="shared" si="46"/>
        <v>4.45</v>
      </c>
      <c r="T223" s="2"/>
      <c r="U223" s="2"/>
      <c r="Y223" s="8">
        <f t="shared" si="47"/>
        <v>3.8091032608695654</v>
      </c>
    </row>
    <row r="224" spans="1:25" x14ac:dyDescent="0.25">
      <c r="A224" s="34">
        <f t="shared" si="53"/>
        <v>216</v>
      </c>
      <c r="B224" s="35">
        <f>B221+1</f>
        <v>199</v>
      </c>
      <c r="C224" s="42" t="s">
        <v>80</v>
      </c>
      <c r="D224" s="44" t="s">
        <v>103</v>
      </c>
      <c r="E224" s="43">
        <v>1</v>
      </c>
      <c r="F224" s="36">
        <f>169799.5/1000000</f>
        <v>0.16979949999999999</v>
      </c>
      <c r="G224" s="36">
        <f t="shared" si="41"/>
        <v>3.34505015E-2</v>
      </c>
      <c r="H224" s="36">
        <f>72496/1000000</f>
        <v>7.2496000000000005E-2</v>
      </c>
      <c r="I224" s="37">
        <f t="shared" si="42"/>
        <v>1.0874400000000001E-2</v>
      </c>
      <c r="J224" s="32">
        <f t="shared" si="45"/>
        <v>0.16130360000000002</v>
      </c>
      <c r="K224" s="33">
        <f t="shared" si="48"/>
        <v>2.4195540000000001E-2</v>
      </c>
      <c r="L224" s="33"/>
      <c r="O224" s="2">
        <f t="shared" si="50"/>
        <v>3.020666666666667E-2</v>
      </c>
      <c r="P224" s="2">
        <f t="shared" si="51"/>
        <v>21.748800000000003</v>
      </c>
      <c r="Q224" s="7">
        <f t="shared" si="52"/>
        <v>98.500000000000014</v>
      </c>
      <c r="R224" s="2">
        <v>1.2</v>
      </c>
      <c r="S224" s="2">
        <f t="shared" si="46"/>
        <v>4.45</v>
      </c>
      <c r="T224" s="2"/>
      <c r="U224" s="2"/>
      <c r="Y224" s="8">
        <f t="shared" si="47"/>
        <v>3.5066000000000002</v>
      </c>
    </row>
    <row r="225" spans="1:25" x14ac:dyDescent="0.25">
      <c r="A225" s="34">
        <f t="shared" si="53"/>
        <v>217</v>
      </c>
      <c r="B225" s="35">
        <f>B224+1</f>
        <v>200</v>
      </c>
      <c r="C225" s="42" t="s">
        <v>80</v>
      </c>
      <c r="D225" s="41" t="s">
        <v>103</v>
      </c>
      <c r="E225" s="35">
        <v>2</v>
      </c>
      <c r="F225" s="36">
        <f>169799.5/1000000</f>
        <v>0.16979949999999999</v>
      </c>
      <c r="G225" s="36">
        <f t="shared" si="41"/>
        <v>3.34505015E-2</v>
      </c>
      <c r="H225" s="36">
        <f>72496/1000000</f>
        <v>7.2496000000000005E-2</v>
      </c>
      <c r="I225" s="37">
        <f t="shared" si="42"/>
        <v>1.0874400000000001E-2</v>
      </c>
      <c r="J225" s="32">
        <f t="shared" si="45"/>
        <v>0.16130360000000002</v>
      </c>
      <c r="K225" s="33">
        <f t="shared" si="48"/>
        <v>2.4195540000000001E-2</v>
      </c>
      <c r="L225" s="33"/>
      <c r="O225" s="2">
        <f t="shared" si="50"/>
        <v>3.020666666666667E-2</v>
      </c>
      <c r="P225" s="2">
        <f t="shared" si="51"/>
        <v>21.748800000000003</v>
      </c>
      <c r="Q225" s="7">
        <f t="shared" si="52"/>
        <v>98.500000000000014</v>
      </c>
      <c r="R225" s="2">
        <v>1.2</v>
      </c>
      <c r="S225" s="2">
        <f t="shared" si="46"/>
        <v>4.45</v>
      </c>
      <c r="T225" s="2"/>
      <c r="U225" s="2"/>
      <c r="Y225" s="8">
        <f t="shared" si="47"/>
        <v>3.5066000000000002</v>
      </c>
    </row>
    <row r="226" spans="1:25" x14ac:dyDescent="0.25">
      <c r="A226" s="34">
        <f t="shared" si="53"/>
        <v>218</v>
      </c>
      <c r="B226" s="35">
        <f>B225+1</f>
        <v>201</v>
      </c>
      <c r="C226" s="42" t="s">
        <v>80</v>
      </c>
      <c r="D226" s="44" t="s">
        <v>64</v>
      </c>
      <c r="E226" s="43"/>
      <c r="F226" s="36">
        <f>177411/1000000</f>
        <v>0.17741100000000001</v>
      </c>
      <c r="G226" s="36">
        <f t="shared" si="41"/>
        <v>3.4949967000000005E-2</v>
      </c>
      <c r="H226" s="36">
        <f>70656/1000000</f>
        <v>7.0655999999999997E-2</v>
      </c>
      <c r="I226" s="37">
        <f t="shared" si="42"/>
        <v>1.0598399999999999E-2</v>
      </c>
      <c r="J226" s="32">
        <f t="shared" si="45"/>
        <v>0.1572096</v>
      </c>
      <c r="K226" s="33">
        <f t="shared" si="48"/>
        <v>2.3581439999999999E-2</v>
      </c>
      <c r="L226" s="33"/>
      <c r="O226" s="2">
        <f t="shared" si="50"/>
        <v>2.9440000000000001E-2</v>
      </c>
      <c r="P226" s="2">
        <f t="shared" si="51"/>
        <v>21.196800000000003</v>
      </c>
      <c r="Q226" s="7">
        <f t="shared" si="52"/>
        <v>96.000000000000014</v>
      </c>
      <c r="R226" s="2">
        <v>1.2</v>
      </c>
      <c r="S226" s="2">
        <f t="shared" si="46"/>
        <v>4.45</v>
      </c>
      <c r="T226" s="2"/>
      <c r="U226" s="2"/>
      <c r="Y226" s="8">
        <f t="shared" si="47"/>
        <v>3.4176000000000002</v>
      </c>
    </row>
    <row r="227" spans="1:25" x14ac:dyDescent="0.25">
      <c r="A227" s="34">
        <f t="shared" si="53"/>
        <v>219</v>
      </c>
      <c r="B227" s="35">
        <f>B226+1</f>
        <v>202</v>
      </c>
      <c r="C227" s="42" t="s">
        <v>80</v>
      </c>
      <c r="D227" s="44" t="s">
        <v>104</v>
      </c>
      <c r="E227" s="43">
        <v>1</v>
      </c>
      <c r="F227" s="36">
        <f>171416/1000000</f>
        <v>0.17141600000000001</v>
      </c>
      <c r="G227" s="36">
        <f t="shared" si="41"/>
        <v>3.3768952000000005E-2</v>
      </c>
      <c r="H227" s="36">
        <f>82432/1000000</f>
        <v>8.2432000000000005E-2</v>
      </c>
      <c r="I227" s="37">
        <f t="shared" si="42"/>
        <v>1.23648E-2</v>
      </c>
      <c r="J227" s="32">
        <f t="shared" si="45"/>
        <v>0.18341120000000002</v>
      </c>
      <c r="K227" s="33">
        <f t="shared" si="48"/>
        <v>2.7511680000000004E-2</v>
      </c>
      <c r="L227" s="33"/>
      <c r="O227" s="2">
        <f t="shared" si="50"/>
        <v>3.4346666666666671E-2</v>
      </c>
      <c r="P227" s="2">
        <f t="shared" si="51"/>
        <v>24.729600000000005</v>
      </c>
      <c r="Q227" s="7">
        <f t="shared" si="52"/>
        <v>112.00000000000003</v>
      </c>
      <c r="R227" s="2">
        <v>1.2</v>
      </c>
      <c r="S227" s="2">
        <f t="shared" si="46"/>
        <v>4.45</v>
      </c>
      <c r="T227" s="2"/>
      <c r="U227" s="2"/>
      <c r="Y227" s="8">
        <f t="shared" si="47"/>
        <v>3.9872000000000005</v>
      </c>
    </row>
    <row r="228" spans="1:25" x14ac:dyDescent="0.25">
      <c r="A228" s="34">
        <f t="shared" si="53"/>
        <v>220</v>
      </c>
      <c r="B228" s="35">
        <f>B227+1</f>
        <v>203</v>
      </c>
      <c r="C228" s="42" t="s">
        <v>80</v>
      </c>
      <c r="D228" s="41" t="s">
        <v>104</v>
      </c>
      <c r="E228" s="35">
        <v>2</v>
      </c>
      <c r="F228" s="36">
        <f>171416/1000000</f>
        <v>0.17141600000000001</v>
      </c>
      <c r="G228" s="36">
        <f t="shared" si="41"/>
        <v>3.3768952000000005E-2</v>
      </c>
      <c r="H228" s="36">
        <f>82432/1000000</f>
        <v>8.2432000000000005E-2</v>
      </c>
      <c r="I228" s="37">
        <f t="shared" si="42"/>
        <v>1.23648E-2</v>
      </c>
      <c r="J228" s="32">
        <f t="shared" si="45"/>
        <v>0.18341120000000002</v>
      </c>
      <c r="K228" s="33">
        <f t="shared" si="48"/>
        <v>2.7511680000000004E-2</v>
      </c>
      <c r="L228" s="33"/>
      <c r="O228" s="2">
        <f t="shared" si="50"/>
        <v>3.4346666666666671E-2</v>
      </c>
      <c r="P228" s="2">
        <f t="shared" si="51"/>
        <v>24.729600000000005</v>
      </c>
      <c r="Q228" s="7">
        <f t="shared" si="52"/>
        <v>112.00000000000003</v>
      </c>
      <c r="R228" s="2">
        <v>1.2</v>
      </c>
      <c r="S228" s="2">
        <f t="shared" si="46"/>
        <v>4.45</v>
      </c>
      <c r="T228" s="2"/>
      <c r="U228" s="2"/>
      <c r="Y228" s="8">
        <f t="shared" si="47"/>
        <v>3.9872000000000005</v>
      </c>
    </row>
    <row r="229" spans="1:25" x14ac:dyDescent="0.25">
      <c r="A229" s="34">
        <f t="shared" si="53"/>
        <v>221</v>
      </c>
      <c r="B229" s="35">
        <f>B228+1</f>
        <v>204</v>
      </c>
      <c r="C229" s="42" t="s">
        <v>80</v>
      </c>
      <c r="D229" s="44" t="s">
        <v>105</v>
      </c>
      <c r="E229" s="43"/>
      <c r="F229" s="36">
        <f>110938/1000000</f>
        <v>0.11093799999999999</v>
      </c>
      <c r="G229" s="36">
        <f t="shared" si="41"/>
        <v>2.1854786000000001E-2</v>
      </c>
      <c r="H229" s="36">
        <f>60353/1000000</f>
        <v>6.0352999999999997E-2</v>
      </c>
      <c r="I229" s="37">
        <f t="shared" si="42"/>
        <v>9.0529499999999988E-3</v>
      </c>
      <c r="J229" s="32">
        <f t="shared" si="45"/>
        <v>0.13428542499999999</v>
      </c>
      <c r="K229" s="33">
        <f t="shared" si="48"/>
        <v>2.0142813749999999E-2</v>
      </c>
      <c r="L229" s="33"/>
      <c r="O229" s="2">
        <f t="shared" si="50"/>
        <v>2.5147083333333334E-2</v>
      </c>
      <c r="P229" s="2">
        <f t="shared" si="51"/>
        <v>18.105900000000002</v>
      </c>
      <c r="Q229" s="7">
        <f t="shared" si="52"/>
        <v>82.001358695652186</v>
      </c>
      <c r="R229" s="2">
        <v>1.2</v>
      </c>
      <c r="S229" s="2">
        <f t="shared" si="46"/>
        <v>4.45</v>
      </c>
      <c r="T229" s="2"/>
      <c r="U229" s="2"/>
      <c r="Y229" s="8">
        <f t="shared" si="47"/>
        <v>2.9192483695652172</v>
      </c>
    </row>
    <row r="230" spans="1:25" x14ac:dyDescent="0.25">
      <c r="A230" s="34">
        <f t="shared" si="53"/>
        <v>222</v>
      </c>
      <c r="B230" s="35"/>
      <c r="C230" s="42" t="s">
        <v>80</v>
      </c>
      <c r="D230" s="35" t="s">
        <v>106</v>
      </c>
      <c r="E230" s="35"/>
      <c r="F230" s="36">
        <f>103590/1000000</f>
        <v>0.10359</v>
      </c>
      <c r="G230" s="36">
        <f t="shared" si="41"/>
        <v>2.0407230000000002E-2</v>
      </c>
      <c r="H230" s="36">
        <f>36800/1000000</f>
        <v>3.6799999999999999E-2</v>
      </c>
      <c r="I230" s="37">
        <f t="shared" si="42"/>
        <v>5.5199999999999997E-3</v>
      </c>
      <c r="J230" s="32">
        <f t="shared" si="45"/>
        <v>8.1880000000000008E-2</v>
      </c>
      <c r="K230" s="33">
        <f t="shared" si="48"/>
        <v>1.2282000000000001E-2</v>
      </c>
      <c r="L230" s="33"/>
      <c r="O230" s="2">
        <f t="shared" si="50"/>
        <v>1.5333333333333334E-2</v>
      </c>
      <c r="P230" s="2">
        <f t="shared" si="51"/>
        <v>11.04</v>
      </c>
      <c r="Q230" s="7">
        <f t="shared" si="52"/>
        <v>50</v>
      </c>
      <c r="R230" s="2">
        <v>1.2</v>
      </c>
      <c r="S230" s="2">
        <f t="shared" si="46"/>
        <v>4.45</v>
      </c>
      <c r="T230" s="2"/>
      <c r="U230" s="2"/>
      <c r="Y230" s="8">
        <f t="shared" si="47"/>
        <v>1.78</v>
      </c>
    </row>
    <row r="231" spans="1:25" x14ac:dyDescent="0.25">
      <c r="A231" s="34">
        <f t="shared" si="53"/>
        <v>223</v>
      </c>
      <c r="B231" s="35">
        <f>B229+1</f>
        <v>205</v>
      </c>
      <c r="C231" s="42" t="s">
        <v>80</v>
      </c>
      <c r="D231" s="41" t="s">
        <v>65</v>
      </c>
      <c r="E231" s="35"/>
      <c r="F231" s="36">
        <f>117145/1000000</f>
        <v>0.117145</v>
      </c>
      <c r="G231" s="36">
        <f t="shared" si="41"/>
        <v>2.3077565000000001E-2</v>
      </c>
      <c r="H231" s="36">
        <f>57310/1000000</f>
        <v>5.731E-2</v>
      </c>
      <c r="I231" s="37">
        <f t="shared" si="42"/>
        <v>8.5965E-3</v>
      </c>
      <c r="J231" s="32">
        <f t="shared" si="45"/>
        <v>0.12751475000000001</v>
      </c>
      <c r="K231" s="33">
        <f t="shared" si="48"/>
        <v>1.9127212500000001E-2</v>
      </c>
      <c r="L231" s="33"/>
      <c r="O231" s="2">
        <f t="shared" si="50"/>
        <v>2.3879166666666667E-2</v>
      </c>
      <c r="P231" s="2">
        <f t="shared" si="51"/>
        <v>17.192999999999998</v>
      </c>
      <c r="Q231" s="7">
        <f t="shared" si="52"/>
        <v>77.866847826086953</v>
      </c>
      <c r="R231" s="2">
        <v>1.2</v>
      </c>
      <c r="S231" s="2">
        <f t="shared" si="46"/>
        <v>4.45</v>
      </c>
      <c r="T231" s="2"/>
      <c r="U231" s="2"/>
      <c r="Y231" s="8">
        <f t="shared" si="47"/>
        <v>2.7720597826086961</v>
      </c>
    </row>
    <row r="232" spans="1:25" x14ac:dyDescent="0.25">
      <c r="A232" s="34">
        <f t="shared" si="53"/>
        <v>224</v>
      </c>
      <c r="B232" s="35"/>
      <c r="C232" s="42" t="s">
        <v>80</v>
      </c>
      <c r="D232" s="35" t="s">
        <v>107</v>
      </c>
      <c r="E232" s="35"/>
      <c r="F232" s="36">
        <f>106570/1000000</f>
        <v>0.10657</v>
      </c>
      <c r="G232" s="36">
        <f>F232*0.197</f>
        <v>2.0994289999999999E-2</v>
      </c>
      <c r="H232" s="36">
        <f>35328/1000000</f>
        <v>3.5327999999999998E-2</v>
      </c>
      <c r="I232" s="37">
        <f>H232*0.15</f>
        <v>5.2991999999999996E-3</v>
      </c>
      <c r="J232" s="32">
        <f t="shared" si="45"/>
        <v>7.8604800000000002E-2</v>
      </c>
      <c r="K232" s="33">
        <f t="shared" si="48"/>
        <v>1.1790719999999999E-2</v>
      </c>
      <c r="L232" s="33"/>
      <c r="O232" s="2">
        <f t="shared" si="50"/>
        <v>1.472E-2</v>
      </c>
      <c r="P232" s="2">
        <f t="shared" si="51"/>
        <v>10.598400000000002</v>
      </c>
      <c r="Q232" s="7">
        <f t="shared" si="52"/>
        <v>48.000000000000007</v>
      </c>
      <c r="R232" s="2">
        <v>1.2</v>
      </c>
      <c r="S232" s="2">
        <f t="shared" si="46"/>
        <v>4.45</v>
      </c>
      <c r="T232" s="2"/>
      <c r="U232" s="2"/>
      <c r="Y232" s="8">
        <f t="shared" si="47"/>
        <v>1.7088000000000001</v>
      </c>
    </row>
    <row r="233" spans="1:25" x14ac:dyDescent="0.25">
      <c r="A233" s="34">
        <f t="shared" si="53"/>
        <v>225</v>
      </c>
      <c r="B233" s="35"/>
      <c r="C233" s="42" t="s">
        <v>80</v>
      </c>
      <c r="D233" s="35" t="s">
        <v>108</v>
      </c>
      <c r="E233" s="35"/>
      <c r="F233" s="36">
        <f>279120/1000000</f>
        <v>0.27911999999999998</v>
      </c>
      <c r="G233" s="36">
        <f>F233*0.197</f>
        <v>5.4986639999999996E-2</v>
      </c>
      <c r="H233" s="36">
        <f>119968/1000000</f>
        <v>0.11996800000000001</v>
      </c>
      <c r="I233" s="37">
        <f>H233*0.15</f>
        <v>1.7995199999999999E-2</v>
      </c>
      <c r="J233" s="32">
        <f t="shared" si="45"/>
        <v>0.22194080000000002</v>
      </c>
      <c r="K233" s="33">
        <f t="shared" si="48"/>
        <v>3.329112E-2</v>
      </c>
      <c r="L233" s="33"/>
      <c r="O233" s="2">
        <f t="shared" si="50"/>
        <v>4.9986666666666672E-2</v>
      </c>
      <c r="P233" s="2">
        <f t="shared" si="51"/>
        <v>35.990400000000001</v>
      </c>
      <c r="Q233" s="7">
        <f t="shared" si="52"/>
        <v>163</v>
      </c>
      <c r="R233" s="2">
        <v>1.2</v>
      </c>
      <c r="S233" s="2">
        <f t="shared" si="46"/>
        <v>3.7</v>
      </c>
      <c r="T233" s="2"/>
      <c r="U233" s="2"/>
      <c r="Y233" s="8">
        <f t="shared" si="47"/>
        <v>4.8248000000000006</v>
      </c>
    </row>
    <row r="234" spans="1:25" x14ac:dyDescent="0.25">
      <c r="A234" s="34">
        <f t="shared" si="53"/>
        <v>226</v>
      </c>
      <c r="B234" s="35"/>
      <c r="C234" s="42" t="s">
        <v>80</v>
      </c>
      <c r="D234" s="35" t="s">
        <v>109</v>
      </c>
      <c r="E234" s="35"/>
      <c r="F234" s="36">
        <f>181810/1000000</f>
        <v>0.18181</v>
      </c>
      <c r="G234" s="36">
        <f>F234*0.197</f>
        <v>3.5816569999999999E-2</v>
      </c>
      <c r="H234" s="36">
        <f>65504/1000000</f>
        <v>6.5504000000000007E-2</v>
      </c>
      <c r="I234" s="37">
        <f>H234*0.15</f>
        <v>9.8256000000000003E-3</v>
      </c>
      <c r="J234" s="32">
        <f t="shared" si="45"/>
        <v>0.14574640000000003</v>
      </c>
      <c r="K234" s="33">
        <f t="shared" si="48"/>
        <v>2.1861960000000003E-2</v>
      </c>
      <c r="L234" s="33"/>
      <c r="O234" s="2">
        <f t="shared" si="50"/>
        <v>2.7293333333333336E-2</v>
      </c>
      <c r="P234" s="2">
        <f t="shared" si="51"/>
        <v>19.651200000000003</v>
      </c>
      <c r="Q234" s="7">
        <f t="shared" si="52"/>
        <v>89.000000000000014</v>
      </c>
      <c r="R234" s="2">
        <v>1.2</v>
      </c>
      <c r="S234" s="2">
        <f t="shared" si="46"/>
        <v>4.45</v>
      </c>
      <c r="T234" s="2"/>
      <c r="U234" s="2"/>
      <c r="Y234" s="8">
        <f t="shared" si="47"/>
        <v>3.1684000000000005</v>
      </c>
    </row>
    <row r="235" spans="1:25" x14ac:dyDescent="0.25">
      <c r="A235" s="34">
        <f t="shared" si="53"/>
        <v>227</v>
      </c>
      <c r="B235" s="35">
        <f>B231+1</f>
        <v>206</v>
      </c>
      <c r="C235" s="42" t="s">
        <v>80</v>
      </c>
      <c r="D235" s="44" t="s">
        <v>110</v>
      </c>
      <c r="E235" s="43"/>
      <c r="F235" s="36">
        <f>180040/1000000</f>
        <v>0.18004000000000001</v>
      </c>
      <c r="G235" s="36">
        <f t="shared" ref="G235:G288" si="54">F235*0.197</f>
        <v>3.546788E-2</v>
      </c>
      <c r="H235" s="36">
        <f>75808/1000000</f>
        <v>7.5808E-2</v>
      </c>
      <c r="I235" s="37">
        <f t="shared" ref="I235:I288" si="55">H235*0.15</f>
        <v>1.13712E-2</v>
      </c>
      <c r="J235" s="32">
        <f t="shared" si="45"/>
        <v>0.16867280000000001</v>
      </c>
      <c r="K235" s="33">
        <f t="shared" si="48"/>
        <v>2.5300920000000001E-2</v>
      </c>
      <c r="L235" s="33"/>
      <c r="O235" s="2">
        <f t="shared" si="50"/>
        <v>3.1586666666666666E-2</v>
      </c>
      <c r="P235" s="2">
        <f t="shared" si="51"/>
        <v>22.7424</v>
      </c>
      <c r="Q235" s="7">
        <f t="shared" si="52"/>
        <v>103</v>
      </c>
      <c r="R235" s="2">
        <v>1.2</v>
      </c>
      <c r="S235" s="2">
        <f t="shared" si="46"/>
        <v>4.45</v>
      </c>
      <c r="T235" s="2"/>
      <c r="U235" s="2"/>
      <c r="Y235" s="8">
        <f t="shared" si="47"/>
        <v>3.6668000000000003</v>
      </c>
    </row>
    <row r="236" spans="1:25" x14ac:dyDescent="0.25">
      <c r="A236" s="34">
        <f t="shared" si="53"/>
        <v>228</v>
      </c>
      <c r="B236" s="35"/>
      <c r="C236" s="42" t="s">
        <v>80</v>
      </c>
      <c r="D236" s="35" t="s">
        <v>111</v>
      </c>
      <c r="E236" s="35"/>
      <c r="F236" s="36">
        <f>178943/1000000</f>
        <v>0.17894299999999999</v>
      </c>
      <c r="G236" s="36">
        <f>F236*0.197</f>
        <v>3.5251771000000001E-2</v>
      </c>
      <c r="H236" s="36">
        <f>71392/1000000</f>
        <v>7.1391999999999997E-2</v>
      </c>
      <c r="I236" s="37">
        <f>H236*0.15</f>
        <v>1.0708799999999999E-2</v>
      </c>
      <c r="J236" s="32">
        <f t="shared" si="45"/>
        <v>0.15884719999999999</v>
      </c>
      <c r="K236" s="33">
        <f t="shared" si="48"/>
        <v>2.3827079999999997E-2</v>
      </c>
      <c r="L236" s="33"/>
      <c r="O236" s="2">
        <f t="shared" si="50"/>
        <v>2.9746666666666668E-2</v>
      </c>
      <c r="P236" s="2">
        <f t="shared" si="51"/>
        <v>21.4176</v>
      </c>
      <c r="Q236" s="7">
        <f t="shared" si="52"/>
        <v>97</v>
      </c>
      <c r="R236" s="2">
        <v>1.2</v>
      </c>
      <c r="S236" s="2">
        <f t="shared" si="46"/>
        <v>4.45</v>
      </c>
      <c r="T236" s="2"/>
      <c r="U236" s="2"/>
      <c r="Y236" s="8">
        <f t="shared" si="47"/>
        <v>3.4531999999999998</v>
      </c>
    </row>
    <row r="237" spans="1:25" x14ac:dyDescent="0.25">
      <c r="A237" s="34">
        <f t="shared" si="53"/>
        <v>229</v>
      </c>
      <c r="B237" s="35"/>
      <c r="C237" s="42" t="s">
        <v>80</v>
      </c>
      <c r="D237" s="35" t="s">
        <v>112</v>
      </c>
      <c r="E237" s="35"/>
      <c r="F237" s="36">
        <f>F240</f>
        <v>0.18279000000000001</v>
      </c>
      <c r="G237" s="36">
        <f>F237*0.197</f>
        <v>3.6009630000000001E-2</v>
      </c>
      <c r="H237" s="36">
        <f>82432/1000000</f>
        <v>8.2432000000000005E-2</v>
      </c>
      <c r="I237" s="37">
        <f>H237*0.15</f>
        <v>1.23648E-2</v>
      </c>
      <c r="J237" s="32">
        <f t="shared" si="45"/>
        <v>0.18341120000000002</v>
      </c>
      <c r="K237" s="33">
        <f t="shared" si="48"/>
        <v>2.7511680000000004E-2</v>
      </c>
      <c r="L237" s="33"/>
      <c r="O237" s="2">
        <f t="shared" si="50"/>
        <v>3.4346666666666671E-2</v>
      </c>
      <c r="P237" s="2">
        <f t="shared" si="51"/>
        <v>24.729600000000005</v>
      </c>
      <c r="Q237" s="7">
        <f t="shared" si="52"/>
        <v>112.00000000000003</v>
      </c>
      <c r="R237" s="2">
        <v>1.2</v>
      </c>
      <c r="S237" s="2">
        <f t="shared" si="46"/>
        <v>4.45</v>
      </c>
      <c r="T237" s="2"/>
      <c r="U237" s="2"/>
      <c r="Y237" s="8">
        <f t="shared" si="47"/>
        <v>3.9872000000000005</v>
      </c>
    </row>
    <row r="238" spans="1:25" x14ac:dyDescent="0.25">
      <c r="A238" s="34">
        <f t="shared" si="53"/>
        <v>230</v>
      </c>
      <c r="B238" s="35">
        <f>B235+1</f>
        <v>207</v>
      </c>
      <c r="C238" s="42" t="s">
        <v>80</v>
      </c>
      <c r="D238" s="44" t="s">
        <v>113</v>
      </c>
      <c r="E238" s="43"/>
      <c r="F238" s="36">
        <f>180040/1000000</f>
        <v>0.18004000000000001</v>
      </c>
      <c r="G238" s="36">
        <f t="shared" si="54"/>
        <v>3.546788E-2</v>
      </c>
      <c r="H238" s="36">
        <f>81696/1000000</f>
        <v>8.1696000000000005E-2</v>
      </c>
      <c r="I238" s="37">
        <f t="shared" si="55"/>
        <v>1.22544E-2</v>
      </c>
      <c r="J238" s="32">
        <f t="shared" si="45"/>
        <v>0.18177360000000001</v>
      </c>
      <c r="K238" s="33">
        <f t="shared" si="48"/>
        <v>2.7266040000000002E-2</v>
      </c>
      <c r="L238" s="33"/>
      <c r="O238" s="2">
        <f t="shared" si="50"/>
        <v>3.4040000000000001E-2</v>
      </c>
      <c r="P238" s="2">
        <f t="shared" si="51"/>
        <v>24.508800000000001</v>
      </c>
      <c r="Q238" s="7">
        <f t="shared" si="52"/>
        <v>111</v>
      </c>
      <c r="R238" s="2">
        <v>1.2</v>
      </c>
      <c r="S238" s="2">
        <f t="shared" si="46"/>
        <v>4.45</v>
      </c>
      <c r="T238" s="2"/>
      <c r="U238" s="2"/>
      <c r="Y238" s="8">
        <f t="shared" si="47"/>
        <v>3.9516000000000004</v>
      </c>
    </row>
    <row r="239" spans="1:25" x14ac:dyDescent="0.25">
      <c r="A239" s="34">
        <f t="shared" si="53"/>
        <v>231</v>
      </c>
      <c r="B239" s="35">
        <f>B238+1</f>
        <v>208</v>
      </c>
      <c r="C239" s="42" t="s">
        <v>80</v>
      </c>
      <c r="D239" s="44" t="s">
        <v>114</v>
      </c>
      <c r="E239" s="43"/>
      <c r="F239" s="36">
        <f>180040/1000000</f>
        <v>0.18004000000000001</v>
      </c>
      <c r="G239" s="36">
        <f t="shared" si="54"/>
        <v>3.546788E-2</v>
      </c>
      <c r="H239" s="36">
        <f>73600/1000000</f>
        <v>7.3599999999999999E-2</v>
      </c>
      <c r="I239" s="37">
        <f t="shared" si="55"/>
        <v>1.1039999999999999E-2</v>
      </c>
      <c r="J239" s="32">
        <f t="shared" si="45"/>
        <v>0.16376000000000002</v>
      </c>
      <c r="K239" s="33">
        <f t="shared" si="48"/>
        <v>2.4564000000000002E-2</v>
      </c>
      <c r="L239" s="33"/>
      <c r="O239" s="2">
        <f t="shared" si="50"/>
        <v>3.0666666666666668E-2</v>
      </c>
      <c r="P239" s="2">
        <f t="shared" si="51"/>
        <v>22.08</v>
      </c>
      <c r="Q239" s="7">
        <f t="shared" si="52"/>
        <v>100</v>
      </c>
      <c r="R239" s="2">
        <v>1.2</v>
      </c>
      <c r="S239" s="2">
        <f t="shared" si="46"/>
        <v>4.45</v>
      </c>
      <c r="T239" s="2"/>
      <c r="U239" s="2"/>
      <c r="Y239" s="8">
        <f t="shared" si="47"/>
        <v>3.56</v>
      </c>
    </row>
    <row r="240" spans="1:25" x14ac:dyDescent="0.25">
      <c r="A240" s="34">
        <f t="shared" si="53"/>
        <v>232</v>
      </c>
      <c r="B240" s="35"/>
      <c r="C240" s="42" t="s">
        <v>80</v>
      </c>
      <c r="D240" s="35" t="s">
        <v>115</v>
      </c>
      <c r="E240" s="35"/>
      <c r="F240" s="36">
        <f>182790/1000000</f>
        <v>0.18279000000000001</v>
      </c>
      <c r="G240" s="36">
        <f>F240*0.197</f>
        <v>3.6009630000000001E-2</v>
      </c>
      <c r="H240" s="36">
        <f>89056/1000000</f>
        <v>8.9055999999999996E-2</v>
      </c>
      <c r="I240" s="37">
        <f>H240*0.15</f>
        <v>1.3358399999999999E-2</v>
      </c>
      <c r="J240" s="32">
        <f t="shared" si="45"/>
        <v>0.19814960000000004</v>
      </c>
      <c r="K240" s="33">
        <f t="shared" si="48"/>
        <v>2.9722440000000003E-2</v>
      </c>
      <c r="L240" s="33"/>
      <c r="O240" s="2">
        <f t="shared" si="50"/>
        <v>3.710666666666667E-2</v>
      </c>
      <c r="P240" s="2">
        <f t="shared" si="51"/>
        <v>26.716799999999999</v>
      </c>
      <c r="Q240" s="7">
        <f t="shared" si="52"/>
        <v>121</v>
      </c>
      <c r="R240" s="2">
        <v>1.2</v>
      </c>
      <c r="S240" s="2">
        <f t="shared" si="46"/>
        <v>4.45</v>
      </c>
      <c r="T240" s="2"/>
      <c r="U240" s="2"/>
      <c r="Y240" s="8">
        <f t="shared" si="47"/>
        <v>4.3076000000000008</v>
      </c>
    </row>
    <row r="241" spans="1:25" x14ac:dyDescent="0.25">
      <c r="A241" s="34">
        <f t="shared" si="53"/>
        <v>233</v>
      </c>
      <c r="B241" s="35">
        <f>B239+1</f>
        <v>209</v>
      </c>
      <c r="C241" s="42" t="s">
        <v>80</v>
      </c>
      <c r="D241" s="44" t="s">
        <v>69</v>
      </c>
      <c r="E241" s="43"/>
      <c r="F241" s="36">
        <f>183609/1000000</f>
        <v>0.18360899999999999</v>
      </c>
      <c r="G241" s="36">
        <f t="shared" si="54"/>
        <v>3.6170973000000002E-2</v>
      </c>
      <c r="H241" s="36">
        <f>66240/1000000</f>
        <v>6.6239999999999993E-2</v>
      </c>
      <c r="I241" s="37">
        <f t="shared" si="55"/>
        <v>9.9359999999999987E-3</v>
      </c>
      <c r="J241" s="32">
        <f t="shared" si="45"/>
        <v>0.14738399999999999</v>
      </c>
      <c r="K241" s="33">
        <f t="shared" si="48"/>
        <v>2.2107599999999998E-2</v>
      </c>
      <c r="L241" s="33"/>
      <c r="O241" s="2">
        <f t="shared" si="50"/>
        <v>2.76E-2</v>
      </c>
      <c r="P241" s="2">
        <f t="shared" si="51"/>
        <v>19.872</v>
      </c>
      <c r="Q241" s="7">
        <f t="shared" si="52"/>
        <v>90</v>
      </c>
      <c r="R241" s="2">
        <v>1.2</v>
      </c>
      <c r="S241" s="2">
        <f t="shared" si="46"/>
        <v>4.45</v>
      </c>
      <c r="T241" s="2"/>
      <c r="U241" s="2"/>
      <c r="Y241" s="8">
        <f t="shared" si="47"/>
        <v>3.2039999999999997</v>
      </c>
    </row>
    <row r="242" spans="1:25" x14ac:dyDescent="0.25">
      <c r="A242" s="34">
        <f t="shared" si="53"/>
        <v>234</v>
      </c>
      <c r="B242" s="35">
        <f>B241+1</f>
        <v>210</v>
      </c>
      <c r="C242" s="42" t="s">
        <v>80</v>
      </c>
      <c r="D242" s="44" t="s">
        <v>70</v>
      </c>
      <c r="E242" s="43"/>
      <c r="F242" s="36">
        <f>145150/1000000</f>
        <v>0.14515</v>
      </c>
      <c r="G242" s="36">
        <f t="shared" si="54"/>
        <v>2.859455E-2</v>
      </c>
      <c r="H242" s="36">
        <f>82433/1000000</f>
        <v>8.2433000000000006E-2</v>
      </c>
      <c r="I242" s="37">
        <f t="shared" si="55"/>
        <v>1.2364950000000001E-2</v>
      </c>
      <c r="J242" s="32">
        <f t="shared" si="45"/>
        <v>0.18341342500000005</v>
      </c>
      <c r="K242" s="33">
        <f t="shared" si="48"/>
        <v>2.7512013750000005E-2</v>
      </c>
      <c r="L242" s="33"/>
      <c r="O242" s="2">
        <f t="shared" si="50"/>
        <v>3.4347083333333341E-2</v>
      </c>
      <c r="P242" s="2">
        <f t="shared" si="51"/>
        <v>24.729900000000008</v>
      </c>
      <c r="Q242" s="7">
        <f t="shared" si="52"/>
        <v>112.00135869565221</v>
      </c>
      <c r="R242" s="2">
        <v>1.2</v>
      </c>
      <c r="S242" s="2">
        <f t="shared" si="46"/>
        <v>4.45</v>
      </c>
      <c r="T242" s="2"/>
      <c r="U242" s="2"/>
      <c r="Y242" s="8">
        <f t="shared" si="47"/>
        <v>3.9872483695652186</v>
      </c>
    </row>
    <row r="243" spans="1:25" x14ac:dyDescent="0.25">
      <c r="A243" s="34">
        <f t="shared" si="53"/>
        <v>235</v>
      </c>
      <c r="B243" s="35">
        <f t="shared" si="53"/>
        <v>211</v>
      </c>
      <c r="C243" s="42" t="s">
        <v>116</v>
      </c>
      <c r="D243" s="43">
        <v>1</v>
      </c>
      <c r="E243" s="43"/>
      <c r="F243" s="36">
        <f>181288/1000000</f>
        <v>0.181288</v>
      </c>
      <c r="G243" s="36">
        <f t="shared" si="54"/>
        <v>3.5713736000000003E-2</v>
      </c>
      <c r="H243" s="36">
        <f>78754/1000000</f>
        <v>7.8754000000000005E-2</v>
      </c>
      <c r="I243" s="37">
        <f t="shared" si="55"/>
        <v>1.18131E-2</v>
      </c>
      <c r="J243" s="32">
        <f t="shared" si="45"/>
        <v>0.17522765000000001</v>
      </c>
      <c r="K243" s="33">
        <f t="shared" si="48"/>
        <v>2.62841475E-2</v>
      </c>
      <c r="L243" s="33"/>
      <c r="O243" s="2">
        <f t="shared" si="50"/>
        <v>3.2814166666666672E-2</v>
      </c>
      <c r="P243" s="2">
        <f t="shared" si="51"/>
        <v>23.626200000000004</v>
      </c>
      <c r="Q243" s="7">
        <f t="shared" si="52"/>
        <v>107.00271739130437</v>
      </c>
      <c r="R243" s="2">
        <v>1.2</v>
      </c>
      <c r="S243" s="2">
        <f t="shared" si="46"/>
        <v>4.45</v>
      </c>
      <c r="T243" s="2"/>
      <c r="U243" s="2"/>
      <c r="Y243" s="8">
        <f t="shared" si="47"/>
        <v>3.8092967391304349</v>
      </c>
    </row>
    <row r="244" spans="1:25" x14ac:dyDescent="0.25">
      <c r="A244" s="34">
        <f t="shared" ref="A244:B259" si="56">A243+1</f>
        <v>236</v>
      </c>
      <c r="B244" s="35">
        <f t="shared" si="56"/>
        <v>212</v>
      </c>
      <c r="C244" s="42" t="s">
        <v>116</v>
      </c>
      <c r="D244" s="43">
        <v>2</v>
      </c>
      <c r="E244" s="43"/>
      <c r="F244" s="36">
        <f>181288/1000000</f>
        <v>0.181288</v>
      </c>
      <c r="G244" s="36">
        <f t="shared" si="54"/>
        <v>3.5713736000000003E-2</v>
      </c>
      <c r="H244" s="36">
        <f>85378/1000000</f>
        <v>8.5377999999999996E-2</v>
      </c>
      <c r="I244" s="37">
        <f t="shared" si="55"/>
        <v>1.2806699999999999E-2</v>
      </c>
      <c r="J244" s="32">
        <f t="shared" si="45"/>
        <v>0.18996605</v>
      </c>
      <c r="K244" s="33">
        <f t="shared" si="48"/>
        <v>2.84949075E-2</v>
      </c>
      <c r="L244" s="33"/>
      <c r="O244" s="2">
        <f t="shared" si="50"/>
        <v>3.5574166666666664E-2</v>
      </c>
      <c r="P244" s="2">
        <f t="shared" si="51"/>
        <v>25.613399999999999</v>
      </c>
      <c r="Q244" s="7">
        <f t="shared" si="52"/>
        <v>116.00271739130434</v>
      </c>
      <c r="R244" s="2">
        <v>1.2</v>
      </c>
      <c r="S244" s="2">
        <f t="shared" si="46"/>
        <v>4.45</v>
      </c>
      <c r="T244" s="2"/>
      <c r="U244" s="2"/>
      <c r="Y244" s="8">
        <f t="shared" si="47"/>
        <v>4.1296967391304342</v>
      </c>
    </row>
    <row r="245" spans="1:25" x14ac:dyDescent="0.25">
      <c r="A245" s="34">
        <f t="shared" si="56"/>
        <v>237</v>
      </c>
      <c r="B245" s="35">
        <f t="shared" si="56"/>
        <v>213</v>
      </c>
      <c r="C245" s="42" t="s">
        <v>116</v>
      </c>
      <c r="D245" s="43">
        <v>3</v>
      </c>
      <c r="E245" s="43"/>
      <c r="F245" s="36">
        <f>175963/1000000</f>
        <v>0.17596300000000001</v>
      </c>
      <c r="G245" s="36">
        <f t="shared" si="54"/>
        <v>3.4664711000000001E-2</v>
      </c>
      <c r="H245" s="36">
        <f>79488/1000000</f>
        <v>7.9488000000000003E-2</v>
      </c>
      <c r="I245" s="37">
        <f t="shared" si="55"/>
        <v>1.19232E-2</v>
      </c>
      <c r="J245" s="32">
        <f t="shared" si="45"/>
        <v>0.17686080000000001</v>
      </c>
      <c r="K245" s="33">
        <f t="shared" si="48"/>
        <v>2.652912E-2</v>
      </c>
      <c r="L245" s="33"/>
      <c r="O245" s="2">
        <f t="shared" si="50"/>
        <v>3.3120000000000004E-2</v>
      </c>
      <c r="P245" s="2">
        <f t="shared" si="51"/>
        <v>23.846400000000003</v>
      </c>
      <c r="Q245" s="7">
        <f t="shared" si="52"/>
        <v>108.00000000000001</v>
      </c>
      <c r="R245" s="2">
        <v>1.2</v>
      </c>
      <c r="S245" s="2">
        <f t="shared" si="46"/>
        <v>4.45</v>
      </c>
      <c r="T245" s="2"/>
      <c r="U245" s="2"/>
      <c r="Y245" s="8">
        <f t="shared" si="47"/>
        <v>3.8448000000000002</v>
      </c>
    </row>
    <row r="246" spans="1:25" x14ac:dyDescent="0.25">
      <c r="A246" s="34">
        <f t="shared" si="56"/>
        <v>238</v>
      </c>
      <c r="B246" s="35">
        <f t="shared" si="56"/>
        <v>214</v>
      </c>
      <c r="C246" s="42" t="s">
        <v>116</v>
      </c>
      <c r="D246" s="43">
        <v>4</v>
      </c>
      <c r="E246" s="43"/>
      <c r="F246" s="36">
        <f>174649/1000000</f>
        <v>0.174649</v>
      </c>
      <c r="G246" s="36">
        <f t="shared" si="54"/>
        <v>3.4405853E-2</v>
      </c>
      <c r="H246" s="36">
        <f>74336/1000000</f>
        <v>7.4335999999999999E-2</v>
      </c>
      <c r="I246" s="37">
        <f t="shared" si="55"/>
        <v>1.11504E-2</v>
      </c>
      <c r="J246" s="32">
        <f t="shared" si="45"/>
        <v>0.16539760000000001</v>
      </c>
      <c r="K246" s="33">
        <f t="shared" si="48"/>
        <v>2.4809640000000001E-2</v>
      </c>
      <c r="L246" s="33"/>
      <c r="O246" s="2">
        <f t="shared" si="50"/>
        <v>3.0973333333333335E-2</v>
      </c>
      <c r="P246" s="2">
        <f t="shared" si="51"/>
        <v>22.300800000000002</v>
      </c>
      <c r="Q246" s="7">
        <f t="shared" si="52"/>
        <v>101.00000000000001</v>
      </c>
      <c r="R246" s="2">
        <v>1.2</v>
      </c>
      <c r="S246" s="2">
        <f t="shared" si="46"/>
        <v>4.45</v>
      </c>
      <c r="T246" s="2"/>
      <c r="U246" s="2"/>
      <c r="Y246" s="8">
        <f t="shared" si="47"/>
        <v>3.5956000000000001</v>
      </c>
    </row>
    <row r="247" spans="1:25" x14ac:dyDescent="0.25">
      <c r="A247" s="34">
        <f t="shared" si="56"/>
        <v>239</v>
      </c>
      <c r="B247" s="35">
        <f t="shared" si="56"/>
        <v>215</v>
      </c>
      <c r="C247" s="42" t="s">
        <v>116</v>
      </c>
      <c r="D247" s="44" t="s">
        <v>45</v>
      </c>
      <c r="E247" s="43"/>
      <c r="F247" s="36">
        <f>411974/1000000</f>
        <v>0.41197400000000001</v>
      </c>
      <c r="G247" s="36">
        <f t="shared" si="54"/>
        <v>8.1158878000000004E-2</v>
      </c>
      <c r="H247" s="36">
        <f>138367/1000000</f>
        <v>0.13836699999999999</v>
      </c>
      <c r="I247" s="37">
        <f t="shared" si="55"/>
        <v>2.0755049999999997E-2</v>
      </c>
      <c r="J247" s="32">
        <f t="shared" si="45"/>
        <v>0.25597894999999998</v>
      </c>
      <c r="K247" s="33">
        <f t="shared" si="48"/>
        <v>3.8396842499999993E-2</v>
      </c>
      <c r="L247" s="33"/>
      <c r="O247" s="2">
        <f t="shared" si="50"/>
        <v>5.7652916666666665E-2</v>
      </c>
      <c r="P247" s="2">
        <f t="shared" si="51"/>
        <v>41.510100000000001</v>
      </c>
      <c r="Q247" s="7">
        <f t="shared" si="52"/>
        <v>187.99864130434784</v>
      </c>
      <c r="R247" s="2">
        <v>1.2</v>
      </c>
      <c r="S247" s="2">
        <f t="shared" si="46"/>
        <v>3.7</v>
      </c>
      <c r="T247" s="2"/>
      <c r="U247" s="2"/>
      <c r="Y247" s="8">
        <f t="shared" si="47"/>
        <v>5.5647597826086956</v>
      </c>
    </row>
    <row r="248" spans="1:25" x14ac:dyDescent="0.25">
      <c r="A248" s="34">
        <f t="shared" si="56"/>
        <v>240</v>
      </c>
      <c r="B248" s="35">
        <f t="shared" si="56"/>
        <v>216</v>
      </c>
      <c r="C248" s="42" t="s">
        <v>116</v>
      </c>
      <c r="D248" s="44" t="s">
        <v>47</v>
      </c>
      <c r="E248" s="43">
        <v>1</v>
      </c>
      <c r="F248" s="36">
        <v>0.1091</v>
      </c>
      <c r="G248" s="36">
        <f t="shared" si="54"/>
        <v>2.14927E-2</v>
      </c>
      <c r="H248" s="36">
        <f>42689/1000000</f>
        <v>4.2688999999999998E-2</v>
      </c>
      <c r="I248" s="37">
        <f t="shared" si="55"/>
        <v>6.4033499999999995E-3</v>
      </c>
      <c r="J248" s="32">
        <f t="shared" si="45"/>
        <v>9.4983024999999999E-2</v>
      </c>
      <c r="K248" s="33">
        <f t="shared" si="48"/>
        <v>1.424745375E-2</v>
      </c>
      <c r="L248" s="33"/>
      <c r="O248" s="2">
        <f t="shared" si="50"/>
        <v>1.7787083333333332E-2</v>
      </c>
      <c r="P248" s="2">
        <f t="shared" si="51"/>
        <v>12.806699999999999</v>
      </c>
      <c r="Q248" s="7">
        <f t="shared" si="52"/>
        <v>58.001358695652172</v>
      </c>
      <c r="R248" s="2">
        <v>1.2</v>
      </c>
      <c r="S248" s="2">
        <f t="shared" si="46"/>
        <v>4.45</v>
      </c>
      <c r="T248" s="2"/>
      <c r="U248" s="2"/>
      <c r="Y248" s="8">
        <f t="shared" si="47"/>
        <v>2.0648483695652171</v>
      </c>
    </row>
    <row r="249" spans="1:25" x14ac:dyDescent="0.25">
      <c r="A249" s="34">
        <f t="shared" si="56"/>
        <v>241</v>
      </c>
      <c r="B249" s="35">
        <f t="shared" si="56"/>
        <v>217</v>
      </c>
      <c r="C249" s="42" t="s">
        <v>116</v>
      </c>
      <c r="D249" s="41" t="s">
        <v>47</v>
      </c>
      <c r="E249" s="35">
        <v>2</v>
      </c>
      <c r="F249" s="36">
        <v>0.1091</v>
      </c>
      <c r="G249" s="36">
        <f t="shared" si="54"/>
        <v>2.14927E-2</v>
      </c>
      <c r="H249" s="36">
        <f>42689/1000000</f>
        <v>4.2688999999999998E-2</v>
      </c>
      <c r="I249" s="37">
        <f t="shared" si="55"/>
        <v>6.4033499999999995E-3</v>
      </c>
      <c r="J249" s="32">
        <f t="shared" si="45"/>
        <v>9.4983024999999999E-2</v>
      </c>
      <c r="K249" s="33">
        <f t="shared" si="48"/>
        <v>1.424745375E-2</v>
      </c>
      <c r="L249" s="33"/>
      <c r="O249" s="2">
        <f t="shared" si="50"/>
        <v>1.7787083333333332E-2</v>
      </c>
      <c r="P249" s="2">
        <f t="shared" si="51"/>
        <v>12.806699999999999</v>
      </c>
      <c r="Q249" s="7">
        <f t="shared" si="52"/>
        <v>58.001358695652172</v>
      </c>
      <c r="R249" s="2">
        <v>1.2</v>
      </c>
      <c r="S249" s="2">
        <f t="shared" si="46"/>
        <v>4.45</v>
      </c>
      <c r="T249" s="2"/>
      <c r="U249" s="2"/>
      <c r="Y249" s="8">
        <f t="shared" si="47"/>
        <v>2.0648483695652171</v>
      </c>
    </row>
    <row r="250" spans="1:25" x14ac:dyDescent="0.25">
      <c r="A250" s="34">
        <f t="shared" si="56"/>
        <v>242</v>
      </c>
      <c r="B250" s="35">
        <f t="shared" si="56"/>
        <v>218</v>
      </c>
      <c r="C250" s="42" t="s">
        <v>116</v>
      </c>
      <c r="D250" s="44" t="s">
        <v>48</v>
      </c>
      <c r="E250" s="43">
        <v>1</v>
      </c>
      <c r="F250" s="36">
        <f>144538/1000000</f>
        <v>0.144538</v>
      </c>
      <c r="G250" s="36">
        <f t="shared" si="54"/>
        <v>2.8473986E-2</v>
      </c>
      <c r="H250" s="36">
        <f>63664/1000000</f>
        <v>6.3663999999999998E-2</v>
      </c>
      <c r="I250" s="37">
        <f t="shared" si="55"/>
        <v>9.5496000000000001E-3</v>
      </c>
      <c r="J250" s="32">
        <f t="shared" si="45"/>
        <v>0.14165240000000001</v>
      </c>
      <c r="K250" s="33">
        <f t="shared" si="48"/>
        <v>2.124786E-2</v>
      </c>
      <c r="L250" s="33"/>
      <c r="O250" s="2">
        <f t="shared" si="50"/>
        <v>2.6526666666666667E-2</v>
      </c>
      <c r="P250" s="2">
        <f t="shared" si="51"/>
        <v>19.0992</v>
      </c>
      <c r="Q250" s="7">
        <f t="shared" si="52"/>
        <v>86.5</v>
      </c>
      <c r="R250" s="2">
        <v>1.2</v>
      </c>
      <c r="S250" s="2">
        <f t="shared" si="46"/>
        <v>4.45</v>
      </c>
      <c r="T250" s="2"/>
      <c r="U250" s="2"/>
      <c r="Y250" s="8">
        <f t="shared" si="47"/>
        <v>3.0794000000000006</v>
      </c>
    </row>
    <row r="251" spans="1:25" x14ac:dyDescent="0.25">
      <c r="A251" s="34">
        <f t="shared" si="56"/>
        <v>243</v>
      </c>
      <c r="B251" s="35">
        <f t="shared" si="56"/>
        <v>219</v>
      </c>
      <c r="C251" s="42" t="s">
        <v>116</v>
      </c>
      <c r="D251" s="41" t="s">
        <v>48</v>
      </c>
      <c r="E251" s="35">
        <v>2</v>
      </c>
      <c r="F251" s="36">
        <f>144538/1000000</f>
        <v>0.144538</v>
      </c>
      <c r="G251" s="36">
        <f t="shared" si="54"/>
        <v>2.8473986E-2</v>
      </c>
      <c r="H251" s="36">
        <f>63664/1000000</f>
        <v>6.3663999999999998E-2</v>
      </c>
      <c r="I251" s="37">
        <f t="shared" si="55"/>
        <v>9.5496000000000001E-3</v>
      </c>
      <c r="J251" s="32">
        <f t="shared" si="45"/>
        <v>0.14165240000000001</v>
      </c>
      <c r="K251" s="33">
        <f t="shared" si="48"/>
        <v>2.124786E-2</v>
      </c>
      <c r="L251" s="33"/>
      <c r="O251" s="2">
        <f t="shared" si="50"/>
        <v>2.6526666666666667E-2</v>
      </c>
      <c r="P251" s="2">
        <f t="shared" si="51"/>
        <v>19.0992</v>
      </c>
      <c r="Q251" s="7">
        <f t="shared" si="52"/>
        <v>86.5</v>
      </c>
      <c r="R251" s="2">
        <v>1.2</v>
      </c>
      <c r="S251" s="2">
        <f t="shared" si="46"/>
        <v>4.45</v>
      </c>
      <c r="T251" s="2"/>
      <c r="U251" s="2"/>
      <c r="Y251" s="8">
        <f t="shared" si="47"/>
        <v>3.0794000000000006</v>
      </c>
    </row>
    <row r="252" spans="1:25" x14ac:dyDescent="0.25">
      <c r="A252" s="34">
        <f t="shared" si="56"/>
        <v>244</v>
      </c>
      <c r="B252" s="35">
        <f t="shared" si="56"/>
        <v>220</v>
      </c>
      <c r="C252" s="42" t="s">
        <v>116</v>
      </c>
      <c r="D252" s="44" t="s">
        <v>50</v>
      </c>
      <c r="E252" s="43"/>
      <c r="F252" s="36">
        <f>143784/1000000</f>
        <v>0.143784</v>
      </c>
      <c r="G252" s="36">
        <f t="shared" si="54"/>
        <v>2.8325448E-2</v>
      </c>
      <c r="H252" s="36">
        <f>69184/1000000</f>
        <v>6.9183999999999996E-2</v>
      </c>
      <c r="I252" s="37">
        <f t="shared" si="55"/>
        <v>1.0377599999999999E-2</v>
      </c>
      <c r="J252" s="32">
        <f t="shared" si="45"/>
        <v>0.1539344</v>
      </c>
      <c r="K252" s="33">
        <f t="shared" si="48"/>
        <v>2.3090159999999998E-2</v>
      </c>
      <c r="L252" s="33"/>
      <c r="O252" s="2">
        <f t="shared" si="50"/>
        <v>2.8826666666666667E-2</v>
      </c>
      <c r="P252" s="2">
        <f t="shared" si="51"/>
        <v>20.755200000000002</v>
      </c>
      <c r="Q252" s="7">
        <f t="shared" si="52"/>
        <v>94.000000000000014</v>
      </c>
      <c r="R252" s="2">
        <v>1.2</v>
      </c>
      <c r="S252" s="2">
        <f t="shared" si="46"/>
        <v>4.45</v>
      </c>
      <c r="T252" s="2"/>
      <c r="U252" s="2"/>
      <c r="Y252" s="8">
        <f t="shared" si="47"/>
        <v>3.3463999999999996</v>
      </c>
    </row>
    <row r="253" spans="1:25" x14ac:dyDescent="0.25">
      <c r="A253" s="34">
        <f t="shared" si="56"/>
        <v>245</v>
      </c>
      <c r="B253" s="35">
        <f t="shared" si="56"/>
        <v>221</v>
      </c>
      <c r="C253" s="42" t="s">
        <v>116</v>
      </c>
      <c r="D253" s="44" t="s">
        <v>51</v>
      </c>
      <c r="E253" s="43"/>
      <c r="F253" s="36">
        <f>180897/1000000</f>
        <v>0.180897</v>
      </c>
      <c r="G253" s="36">
        <f t="shared" si="54"/>
        <v>3.5636709000000003E-2</v>
      </c>
      <c r="H253" s="36">
        <f>80224/1000000</f>
        <v>8.0224000000000004E-2</v>
      </c>
      <c r="I253" s="37">
        <f t="shared" si="55"/>
        <v>1.20336E-2</v>
      </c>
      <c r="J253" s="32">
        <f t="shared" si="45"/>
        <v>0.1784984</v>
      </c>
      <c r="K253" s="33">
        <f t="shared" si="48"/>
        <v>2.6774759999999998E-2</v>
      </c>
      <c r="L253" s="33"/>
      <c r="O253" s="2">
        <f t="shared" si="50"/>
        <v>3.3426666666666667E-2</v>
      </c>
      <c r="P253" s="2">
        <f t="shared" si="51"/>
        <v>24.067200000000003</v>
      </c>
      <c r="Q253" s="7">
        <f t="shared" si="52"/>
        <v>109.00000000000001</v>
      </c>
      <c r="R253" s="2">
        <v>1.2</v>
      </c>
      <c r="S253" s="2">
        <f t="shared" si="46"/>
        <v>4.45</v>
      </c>
      <c r="T253" s="2"/>
      <c r="U253" s="2"/>
      <c r="Y253" s="8">
        <f t="shared" si="47"/>
        <v>3.8803999999999998</v>
      </c>
    </row>
    <row r="254" spans="1:25" x14ac:dyDescent="0.25">
      <c r="A254" s="34">
        <f t="shared" si="56"/>
        <v>246</v>
      </c>
      <c r="B254" s="35">
        <f t="shared" si="56"/>
        <v>222</v>
      </c>
      <c r="C254" s="42" t="s">
        <v>116</v>
      </c>
      <c r="D254" s="44" t="s">
        <v>52</v>
      </c>
      <c r="E254" s="43">
        <v>1</v>
      </c>
      <c r="F254" s="36">
        <f>174935/1000000</f>
        <v>0.17493500000000001</v>
      </c>
      <c r="G254" s="36">
        <f t="shared" si="54"/>
        <v>3.4462195000000001E-2</v>
      </c>
      <c r="H254" s="36">
        <f>79488/1000000</f>
        <v>7.9488000000000003E-2</v>
      </c>
      <c r="I254" s="37">
        <f t="shared" si="55"/>
        <v>1.19232E-2</v>
      </c>
      <c r="J254" s="32">
        <f t="shared" si="45"/>
        <v>0.17686080000000001</v>
      </c>
      <c r="K254" s="33">
        <f t="shared" si="48"/>
        <v>2.652912E-2</v>
      </c>
      <c r="L254" s="33"/>
      <c r="O254" s="2">
        <f t="shared" si="50"/>
        <v>3.3120000000000004E-2</v>
      </c>
      <c r="P254" s="2">
        <f t="shared" si="51"/>
        <v>23.846400000000003</v>
      </c>
      <c r="Q254" s="7">
        <f t="shared" si="52"/>
        <v>108.00000000000001</v>
      </c>
      <c r="R254" s="2">
        <v>1.2</v>
      </c>
      <c r="S254" s="2">
        <f t="shared" si="46"/>
        <v>4.45</v>
      </c>
      <c r="T254" s="2"/>
      <c r="U254" s="2"/>
      <c r="Y254" s="8">
        <f t="shared" si="47"/>
        <v>3.8448000000000002</v>
      </c>
    </row>
    <row r="255" spans="1:25" x14ac:dyDescent="0.25">
      <c r="A255" s="34">
        <f t="shared" si="56"/>
        <v>247</v>
      </c>
      <c r="B255" s="35">
        <f t="shared" si="56"/>
        <v>223</v>
      </c>
      <c r="C255" s="42" t="s">
        <v>116</v>
      </c>
      <c r="D255" s="41" t="s">
        <v>52</v>
      </c>
      <c r="E255" s="35">
        <v>2</v>
      </c>
      <c r="F255" s="36">
        <f>174935/1000000</f>
        <v>0.17493500000000001</v>
      </c>
      <c r="G255" s="36">
        <f t="shared" si="54"/>
        <v>3.4462195000000001E-2</v>
      </c>
      <c r="H255" s="36">
        <f>79488/1000000</f>
        <v>7.9488000000000003E-2</v>
      </c>
      <c r="I255" s="37">
        <f t="shared" si="55"/>
        <v>1.19232E-2</v>
      </c>
      <c r="J255" s="32">
        <f t="shared" si="45"/>
        <v>0.17686080000000001</v>
      </c>
      <c r="K255" s="33">
        <f t="shared" si="48"/>
        <v>2.652912E-2</v>
      </c>
      <c r="L255" s="33"/>
      <c r="O255" s="2">
        <f t="shared" si="50"/>
        <v>3.3120000000000004E-2</v>
      </c>
      <c r="P255" s="2">
        <f t="shared" si="51"/>
        <v>23.846400000000003</v>
      </c>
      <c r="Q255" s="7">
        <f t="shared" si="52"/>
        <v>108.00000000000001</v>
      </c>
      <c r="R255" s="2">
        <v>1.2</v>
      </c>
      <c r="S255" s="2">
        <f t="shared" si="46"/>
        <v>4.45</v>
      </c>
      <c r="T255" s="2"/>
      <c r="U255" s="2"/>
      <c r="Y255" s="8">
        <f t="shared" si="47"/>
        <v>3.8448000000000002</v>
      </c>
    </row>
    <row r="256" spans="1:25" x14ac:dyDescent="0.25">
      <c r="A256" s="34">
        <f t="shared" si="56"/>
        <v>248</v>
      </c>
      <c r="B256" s="35">
        <f t="shared" si="56"/>
        <v>224</v>
      </c>
      <c r="C256" s="42" t="s">
        <v>116</v>
      </c>
      <c r="D256" s="44" t="s">
        <v>88</v>
      </c>
      <c r="E256" s="43"/>
      <c r="F256" s="36">
        <f>176928/1000000</f>
        <v>0.176928</v>
      </c>
      <c r="G256" s="36">
        <f t="shared" si="54"/>
        <v>3.4854816000000004E-2</v>
      </c>
      <c r="H256" s="36">
        <f>75074/1000000</f>
        <v>7.5074000000000002E-2</v>
      </c>
      <c r="I256" s="37">
        <f t="shared" si="55"/>
        <v>1.12611E-2</v>
      </c>
      <c r="J256" s="32">
        <f t="shared" si="45"/>
        <v>0.16703965000000001</v>
      </c>
      <c r="K256" s="33">
        <f t="shared" si="48"/>
        <v>2.5055947500000002E-2</v>
      </c>
      <c r="L256" s="33"/>
      <c r="O256" s="2">
        <f t="shared" si="50"/>
        <v>3.1280833333333334E-2</v>
      </c>
      <c r="P256" s="2">
        <f t="shared" si="51"/>
        <v>22.522199999999998</v>
      </c>
      <c r="Q256" s="7">
        <f t="shared" si="52"/>
        <v>102.00271739130434</v>
      </c>
      <c r="R256" s="2">
        <v>1.2</v>
      </c>
      <c r="S256" s="2">
        <f t="shared" si="46"/>
        <v>4.45</v>
      </c>
      <c r="T256" s="2"/>
      <c r="U256" s="2"/>
      <c r="Y256" s="8">
        <f t="shared" si="47"/>
        <v>3.6312967391304354</v>
      </c>
    </row>
    <row r="257" spans="1:25" x14ac:dyDescent="0.25">
      <c r="A257" s="34">
        <f t="shared" si="56"/>
        <v>249</v>
      </c>
      <c r="B257" s="35">
        <f t="shared" si="56"/>
        <v>225</v>
      </c>
      <c r="C257" s="42" t="s">
        <v>116</v>
      </c>
      <c r="D257" s="44" t="s">
        <v>117</v>
      </c>
      <c r="E257" s="43"/>
      <c r="F257" s="36">
        <f>180040/1000000</f>
        <v>0.18004000000000001</v>
      </c>
      <c r="G257" s="36">
        <f t="shared" si="54"/>
        <v>3.546788E-2</v>
      </c>
      <c r="H257" s="36">
        <f>76544/1000000</f>
        <v>7.6544000000000001E-2</v>
      </c>
      <c r="I257" s="37">
        <f t="shared" si="55"/>
        <v>1.14816E-2</v>
      </c>
      <c r="J257" s="32">
        <f t="shared" si="45"/>
        <v>0.1703104</v>
      </c>
      <c r="K257" s="33">
        <f t="shared" si="48"/>
        <v>2.5546559999999999E-2</v>
      </c>
      <c r="L257" s="33"/>
      <c r="O257" s="2">
        <f t="shared" si="50"/>
        <v>3.1893333333333336E-2</v>
      </c>
      <c r="P257" s="2">
        <f t="shared" si="51"/>
        <v>22.963200000000004</v>
      </c>
      <c r="Q257" s="7">
        <f t="shared" si="52"/>
        <v>104.00000000000001</v>
      </c>
      <c r="R257" s="2">
        <v>1.2</v>
      </c>
      <c r="S257" s="2">
        <f t="shared" si="46"/>
        <v>4.45</v>
      </c>
      <c r="T257" s="2"/>
      <c r="U257" s="2"/>
      <c r="Y257" s="8">
        <f t="shared" si="47"/>
        <v>3.7024000000000004</v>
      </c>
    </row>
    <row r="258" spans="1:25" x14ac:dyDescent="0.25">
      <c r="A258" s="34">
        <f t="shared" si="56"/>
        <v>250</v>
      </c>
      <c r="B258" s="35">
        <f t="shared" si="56"/>
        <v>226</v>
      </c>
      <c r="C258" s="42" t="s">
        <v>116</v>
      </c>
      <c r="D258" s="44" t="s">
        <v>54</v>
      </c>
      <c r="E258" s="43"/>
      <c r="F258" s="36">
        <f>179213/1000000</f>
        <v>0.17921300000000001</v>
      </c>
      <c r="G258" s="36">
        <f t="shared" si="54"/>
        <v>3.5304961000000003E-2</v>
      </c>
      <c r="H258" s="36">
        <f>80222/1000000</f>
        <v>8.0222000000000002E-2</v>
      </c>
      <c r="I258" s="37">
        <f t="shared" si="55"/>
        <v>1.20333E-2</v>
      </c>
      <c r="J258" s="32">
        <f t="shared" si="45"/>
        <v>0.17849395000000001</v>
      </c>
      <c r="K258" s="33">
        <f t="shared" si="48"/>
        <v>2.6774092500000003E-2</v>
      </c>
      <c r="L258" s="33"/>
      <c r="O258" s="2">
        <f t="shared" si="50"/>
        <v>3.3425833333333335E-2</v>
      </c>
      <c r="P258" s="2">
        <f t="shared" si="51"/>
        <v>24.066600000000001</v>
      </c>
      <c r="Q258" s="7">
        <f t="shared" si="52"/>
        <v>108.99728260869566</v>
      </c>
      <c r="R258" s="2">
        <v>1.2</v>
      </c>
      <c r="S258" s="2">
        <f t="shared" si="46"/>
        <v>4.45</v>
      </c>
      <c r="T258" s="2"/>
      <c r="U258" s="2"/>
      <c r="Y258" s="8">
        <f t="shared" si="47"/>
        <v>3.8803032608695656</v>
      </c>
    </row>
    <row r="259" spans="1:25" x14ac:dyDescent="0.25">
      <c r="A259" s="34">
        <f t="shared" si="56"/>
        <v>251</v>
      </c>
      <c r="B259" s="35">
        <f>B258+1</f>
        <v>227</v>
      </c>
      <c r="C259" s="42" t="s">
        <v>116</v>
      </c>
      <c r="D259" s="44" t="s">
        <v>118</v>
      </c>
      <c r="E259" s="43"/>
      <c r="F259" s="36">
        <f>140186/1000000</f>
        <v>0.14018600000000001</v>
      </c>
      <c r="G259" s="36">
        <f t="shared" si="54"/>
        <v>2.7616642000000004E-2</v>
      </c>
      <c r="H259" s="36">
        <f>55200/1000000</f>
        <v>5.5199999999999999E-2</v>
      </c>
      <c r="I259" s="37">
        <f t="shared" si="55"/>
        <v>8.2799999999999992E-3</v>
      </c>
      <c r="J259" s="32">
        <f t="shared" si="45"/>
        <v>0.12282</v>
      </c>
      <c r="K259" s="33">
        <f t="shared" si="48"/>
        <v>1.8422999999999998E-2</v>
      </c>
      <c r="L259" s="33"/>
      <c r="O259" s="2">
        <f t="shared" si="50"/>
        <v>2.3E-2</v>
      </c>
      <c r="P259" s="2">
        <f t="shared" si="51"/>
        <v>16.560000000000002</v>
      </c>
      <c r="Q259" s="7">
        <f t="shared" si="52"/>
        <v>75.000000000000014</v>
      </c>
      <c r="R259" s="2">
        <v>1.2</v>
      </c>
      <c r="S259" s="2">
        <f t="shared" si="46"/>
        <v>4.45</v>
      </c>
      <c r="T259" s="2"/>
      <c r="U259" s="2"/>
      <c r="Y259" s="8">
        <f t="shared" si="47"/>
        <v>2.67</v>
      </c>
    </row>
    <row r="260" spans="1:25" x14ac:dyDescent="0.25">
      <c r="A260" s="34">
        <f t="shared" ref="A260:B275" si="57">A259+1</f>
        <v>252</v>
      </c>
      <c r="B260" s="35">
        <f>B259+1</f>
        <v>228</v>
      </c>
      <c r="C260" s="42" t="s">
        <v>116</v>
      </c>
      <c r="D260" s="44" t="s">
        <v>56</v>
      </c>
      <c r="E260" s="43"/>
      <c r="F260" s="36">
        <f>181252/1000000</f>
        <v>0.181252</v>
      </c>
      <c r="G260" s="36">
        <f t="shared" si="54"/>
        <v>3.5706644000000003E-2</v>
      </c>
      <c r="H260" s="36">
        <f>82433/1000000</f>
        <v>8.2433000000000006E-2</v>
      </c>
      <c r="I260" s="37">
        <f t="shared" si="55"/>
        <v>1.2364950000000001E-2</v>
      </c>
      <c r="J260" s="32">
        <f t="shared" si="45"/>
        <v>0.18341342500000005</v>
      </c>
      <c r="K260" s="33">
        <f t="shared" si="48"/>
        <v>2.7512013750000005E-2</v>
      </c>
      <c r="L260" s="33"/>
      <c r="O260" s="2">
        <f t="shared" si="50"/>
        <v>3.4347083333333341E-2</v>
      </c>
      <c r="P260" s="2">
        <f t="shared" si="51"/>
        <v>24.729900000000008</v>
      </c>
      <c r="Q260" s="7">
        <f t="shared" si="52"/>
        <v>112.00135869565221</v>
      </c>
      <c r="R260" s="2">
        <v>1.2</v>
      </c>
      <c r="S260" s="2">
        <f t="shared" si="46"/>
        <v>4.45</v>
      </c>
      <c r="T260" s="2"/>
      <c r="U260" s="2"/>
      <c r="Y260" s="8">
        <f t="shared" si="47"/>
        <v>3.9872483695652186</v>
      </c>
    </row>
    <row r="261" spans="1:25" x14ac:dyDescent="0.25">
      <c r="A261" s="34">
        <f t="shared" si="57"/>
        <v>253</v>
      </c>
      <c r="B261" s="35">
        <f>B260+1</f>
        <v>229</v>
      </c>
      <c r="C261" s="42" t="s">
        <v>116</v>
      </c>
      <c r="D261" s="44" t="s">
        <v>57</v>
      </c>
      <c r="E261" s="43"/>
      <c r="F261" s="36">
        <f>178021/1000000</f>
        <v>0.17802100000000001</v>
      </c>
      <c r="G261" s="36">
        <f t="shared" si="54"/>
        <v>3.5070137000000001E-2</v>
      </c>
      <c r="H261" s="36">
        <f>81696/1000000</f>
        <v>8.1696000000000005E-2</v>
      </c>
      <c r="I261" s="37">
        <f t="shared" si="55"/>
        <v>1.22544E-2</v>
      </c>
      <c r="J261" s="32">
        <f t="shared" si="45"/>
        <v>0.18177360000000001</v>
      </c>
      <c r="K261" s="33">
        <f t="shared" si="48"/>
        <v>2.7266040000000002E-2</v>
      </c>
      <c r="L261" s="33"/>
      <c r="O261" s="2">
        <f t="shared" si="50"/>
        <v>3.4040000000000001E-2</v>
      </c>
      <c r="P261" s="2">
        <f t="shared" si="51"/>
        <v>24.508800000000001</v>
      </c>
      <c r="Q261" s="7">
        <f t="shared" si="52"/>
        <v>111</v>
      </c>
      <c r="R261" s="2">
        <v>1.2</v>
      </c>
      <c r="S261" s="2">
        <f t="shared" si="46"/>
        <v>4.45</v>
      </c>
      <c r="T261" s="2"/>
      <c r="U261" s="2"/>
      <c r="Y261" s="8">
        <f t="shared" si="47"/>
        <v>3.9516000000000004</v>
      </c>
    </row>
    <row r="262" spans="1:25" x14ac:dyDescent="0.25">
      <c r="A262" s="34">
        <f t="shared" si="57"/>
        <v>254</v>
      </c>
      <c r="B262" s="35">
        <f>B261+1</f>
        <v>230</v>
      </c>
      <c r="C262" s="42" t="s">
        <v>116</v>
      </c>
      <c r="D262" s="44" t="s">
        <v>58</v>
      </c>
      <c r="E262" s="43"/>
      <c r="F262" s="36">
        <f>183824/1000000</f>
        <v>0.18382399999999999</v>
      </c>
      <c r="G262" s="36">
        <f t="shared" si="54"/>
        <v>3.6213327999999996E-2</v>
      </c>
      <c r="H262" s="36">
        <f>88320/1000000</f>
        <v>8.8319999999999996E-2</v>
      </c>
      <c r="I262" s="37">
        <f t="shared" si="55"/>
        <v>1.3247999999999999E-2</v>
      </c>
      <c r="J262" s="32">
        <f t="shared" si="45"/>
        <v>0.19651199999999999</v>
      </c>
      <c r="K262" s="33">
        <f t="shared" si="48"/>
        <v>2.9476799999999997E-2</v>
      </c>
      <c r="L262" s="33"/>
      <c r="O262" s="2">
        <f t="shared" si="50"/>
        <v>3.6799999999999999E-2</v>
      </c>
      <c r="P262" s="2">
        <f t="shared" si="51"/>
        <v>26.495999999999999</v>
      </c>
      <c r="Q262" s="7">
        <f t="shared" si="52"/>
        <v>120</v>
      </c>
      <c r="R262" s="2">
        <v>1.2</v>
      </c>
      <c r="S262" s="2">
        <f t="shared" si="46"/>
        <v>4.45</v>
      </c>
      <c r="T262" s="2"/>
      <c r="U262" s="2"/>
      <c r="Y262" s="8">
        <f t="shared" si="47"/>
        <v>4.2719999999999994</v>
      </c>
    </row>
    <row r="263" spans="1:25" x14ac:dyDescent="0.25">
      <c r="A263" s="34">
        <f t="shared" si="57"/>
        <v>255</v>
      </c>
      <c r="B263" s="35"/>
      <c r="C263" s="42" t="s">
        <v>116</v>
      </c>
      <c r="D263" s="35">
        <v>16</v>
      </c>
      <c r="E263" s="35">
        <v>1</v>
      </c>
      <c r="F263" s="36">
        <f>265660/1000000/2</f>
        <v>0.13283</v>
      </c>
      <c r="G263" s="36">
        <f>F263*0.197</f>
        <v>2.6167510000000001E-2</v>
      </c>
      <c r="H263" s="36">
        <f>159712/1000000</f>
        <v>0.15971199999999999</v>
      </c>
      <c r="I263" s="37">
        <f>H263*0.15</f>
        <v>2.3956799999999997E-2</v>
      </c>
      <c r="J263" s="32">
        <f t="shared" si="45"/>
        <v>0.29546719999999999</v>
      </c>
      <c r="K263" s="33">
        <f t="shared" si="48"/>
        <v>4.4320079999999998E-2</v>
      </c>
      <c r="L263" s="33"/>
      <c r="O263" s="2">
        <f t="shared" si="50"/>
        <v>6.6546666666666671E-2</v>
      </c>
      <c r="P263" s="2">
        <f t="shared" si="51"/>
        <v>47.913600000000002</v>
      </c>
      <c r="Q263" s="7">
        <f t="shared" si="52"/>
        <v>217.00000000000003</v>
      </c>
      <c r="R263" s="2">
        <v>1.2</v>
      </c>
      <c r="S263" s="2">
        <f t="shared" si="46"/>
        <v>3.7</v>
      </c>
      <c r="T263" s="2"/>
      <c r="U263" s="2"/>
      <c r="Y263" s="8">
        <f t="shared" si="47"/>
        <v>6.4231999999999996</v>
      </c>
    </row>
    <row r="264" spans="1:25" x14ac:dyDescent="0.25">
      <c r="A264" s="34">
        <f t="shared" si="57"/>
        <v>256</v>
      </c>
      <c r="B264" s="35"/>
      <c r="C264" s="42" t="s">
        <v>116</v>
      </c>
      <c r="D264" s="35">
        <v>16</v>
      </c>
      <c r="E264" s="35">
        <v>2</v>
      </c>
      <c r="F264" s="36">
        <f>265660/1000000/2</f>
        <v>0.13283</v>
      </c>
      <c r="G264" s="36">
        <f>F264*0.197</f>
        <v>2.6167510000000001E-2</v>
      </c>
      <c r="H264" s="36"/>
      <c r="I264" s="37"/>
      <c r="J264" s="32">
        <f t="shared" si="45"/>
        <v>0</v>
      </c>
      <c r="K264" s="33">
        <f t="shared" si="48"/>
        <v>0</v>
      </c>
      <c r="L264" s="33"/>
      <c r="O264" s="2">
        <f t="shared" si="50"/>
        <v>0</v>
      </c>
      <c r="P264" s="2">
        <f t="shared" si="51"/>
        <v>0</v>
      </c>
      <c r="Q264" s="7">
        <f t="shared" si="52"/>
        <v>0</v>
      </c>
      <c r="R264" s="2">
        <v>1.2</v>
      </c>
      <c r="S264" s="2">
        <f t="shared" si="46"/>
        <v>4.45</v>
      </c>
      <c r="T264" s="2"/>
      <c r="U264" s="2"/>
      <c r="Y264" s="8">
        <f t="shared" si="47"/>
        <v>0</v>
      </c>
    </row>
    <row r="265" spans="1:25" x14ac:dyDescent="0.25">
      <c r="A265" s="34">
        <f t="shared" si="57"/>
        <v>257</v>
      </c>
      <c r="B265" s="35">
        <f>B262+1</f>
        <v>231</v>
      </c>
      <c r="C265" s="42" t="s">
        <v>116</v>
      </c>
      <c r="D265" s="44" t="s">
        <v>60</v>
      </c>
      <c r="E265" s="43"/>
      <c r="F265" s="36">
        <f>179679/1000000</f>
        <v>0.17967900000000001</v>
      </c>
      <c r="G265" s="36">
        <f t="shared" si="54"/>
        <v>3.5396763000000005E-2</v>
      </c>
      <c r="H265" s="36">
        <f>81696/1000000</f>
        <v>8.1696000000000005E-2</v>
      </c>
      <c r="I265" s="37">
        <f t="shared" si="55"/>
        <v>1.22544E-2</v>
      </c>
      <c r="J265" s="32">
        <f t="shared" ref="J265:J328" si="58">O265*R265*S265</f>
        <v>0.18177360000000001</v>
      </c>
      <c r="K265" s="33">
        <f t="shared" si="48"/>
        <v>2.7266040000000002E-2</v>
      </c>
      <c r="L265" s="33"/>
      <c r="O265" s="2">
        <f t="shared" si="50"/>
        <v>3.4040000000000001E-2</v>
      </c>
      <c r="P265" s="2">
        <f t="shared" si="51"/>
        <v>24.508800000000001</v>
      </c>
      <c r="Q265" s="7">
        <f t="shared" si="52"/>
        <v>111</v>
      </c>
      <c r="R265" s="2">
        <v>1.2</v>
      </c>
      <c r="S265" s="2">
        <f t="shared" ref="S265:S328" si="59">IF(Q265&lt;=$AE$6,$AF$6,IF(Q265&lt;=$AE$7,$AF$7,IF(Q265&lt;=$AE$8,$AF$8,IF(Q265&lt;=$AE$9,$AF$9,IF(Q265&lt;=$AE$10,$AF$10,0)))))</f>
        <v>4.45</v>
      </c>
      <c r="T265" s="2"/>
      <c r="U265" s="2"/>
      <c r="Y265" s="8">
        <f t="shared" ref="Y265:Y328" si="60">J265/46*1000</f>
        <v>3.9516000000000004</v>
      </c>
    </row>
    <row r="266" spans="1:25" x14ac:dyDescent="0.25">
      <c r="A266" s="34">
        <f t="shared" si="57"/>
        <v>258</v>
      </c>
      <c r="B266" s="35">
        <f t="shared" si="57"/>
        <v>232</v>
      </c>
      <c r="C266" s="42" t="s">
        <v>116</v>
      </c>
      <c r="D266" s="44" t="s">
        <v>62</v>
      </c>
      <c r="E266" s="43">
        <v>1</v>
      </c>
      <c r="F266" s="36">
        <f>158538/1000000</f>
        <v>0.15853800000000001</v>
      </c>
      <c r="G266" s="36">
        <f t="shared" si="54"/>
        <v>3.1231986000000003E-2</v>
      </c>
      <c r="H266" s="36">
        <f>89423/1000000</f>
        <v>8.9423000000000002E-2</v>
      </c>
      <c r="I266" s="37">
        <f t="shared" si="55"/>
        <v>1.341345E-2</v>
      </c>
      <c r="J266" s="32">
        <f t="shared" si="58"/>
        <v>0.19896617500000005</v>
      </c>
      <c r="K266" s="33">
        <f t="shared" ref="K266:K329" si="61">J266*0.15</f>
        <v>2.9844926250000008E-2</v>
      </c>
      <c r="L266" s="33"/>
      <c r="O266" s="2">
        <f t="shared" si="50"/>
        <v>3.7259583333333339E-2</v>
      </c>
      <c r="P266" s="2">
        <f t="shared" si="51"/>
        <v>26.826900000000002</v>
      </c>
      <c r="Q266" s="7">
        <f t="shared" si="52"/>
        <v>121.49864130434784</v>
      </c>
      <c r="R266" s="2">
        <v>1.2</v>
      </c>
      <c r="S266" s="2">
        <f t="shared" si="59"/>
        <v>4.45</v>
      </c>
      <c r="T266" s="2"/>
      <c r="U266" s="2"/>
      <c r="Y266" s="8">
        <f t="shared" si="60"/>
        <v>4.3253516304347839</v>
      </c>
    </row>
    <row r="267" spans="1:25" x14ac:dyDescent="0.25">
      <c r="A267" s="34">
        <f t="shared" si="57"/>
        <v>259</v>
      </c>
      <c r="B267" s="35">
        <f t="shared" si="57"/>
        <v>233</v>
      </c>
      <c r="C267" s="42" t="s">
        <v>116</v>
      </c>
      <c r="D267" s="41" t="s">
        <v>62</v>
      </c>
      <c r="E267" s="35">
        <v>2</v>
      </c>
      <c r="F267" s="36">
        <f>158538/1000000</f>
        <v>0.15853800000000001</v>
      </c>
      <c r="G267" s="36">
        <f t="shared" si="54"/>
        <v>3.1231986000000003E-2</v>
      </c>
      <c r="H267" s="36">
        <f>89423/1000000</f>
        <v>8.9423000000000002E-2</v>
      </c>
      <c r="I267" s="37">
        <f t="shared" si="55"/>
        <v>1.341345E-2</v>
      </c>
      <c r="J267" s="32">
        <f t="shared" si="58"/>
        <v>0.19896617500000005</v>
      </c>
      <c r="K267" s="33">
        <f t="shared" si="61"/>
        <v>2.9844926250000008E-2</v>
      </c>
      <c r="L267" s="33"/>
      <c r="O267" s="2">
        <f t="shared" ref="O267:O330" si="62">H267/2.4</f>
        <v>3.7259583333333339E-2</v>
      </c>
      <c r="P267" s="2">
        <f t="shared" ref="P267:P330" si="63">O267*24*30</f>
        <v>26.826900000000002</v>
      </c>
      <c r="Q267" s="7">
        <f t="shared" ref="Q267:Q330" si="64">P267/0.2208</f>
        <v>121.49864130434784</v>
      </c>
      <c r="R267" s="2">
        <v>1.2</v>
      </c>
      <c r="S267" s="2">
        <f t="shared" si="59"/>
        <v>4.45</v>
      </c>
      <c r="T267" s="2"/>
      <c r="U267" s="2"/>
      <c r="Y267" s="8">
        <f t="shared" si="60"/>
        <v>4.3253516304347839</v>
      </c>
    </row>
    <row r="268" spans="1:25" x14ac:dyDescent="0.25">
      <c r="A268" s="34">
        <f t="shared" si="57"/>
        <v>260</v>
      </c>
      <c r="B268" s="35">
        <f t="shared" si="57"/>
        <v>234</v>
      </c>
      <c r="C268" s="42" t="s">
        <v>116</v>
      </c>
      <c r="D268" s="44" t="s">
        <v>95</v>
      </c>
      <c r="E268" s="43"/>
      <c r="F268" s="36">
        <f>178981/1000000</f>
        <v>0.178981</v>
      </c>
      <c r="G268" s="36">
        <f t="shared" si="54"/>
        <v>3.5259257000000002E-2</v>
      </c>
      <c r="H268" s="36">
        <f>84641/1000000</f>
        <v>8.4640999999999994E-2</v>
      </c>
      <c r="I268" s="37">
        <f t="shared" si="55"/>
        <v>1.2696149999999998E-2</v>
      </c>
      <c r="J268" s="32">
        <f t="shared" si="58"/>
        <v>0.18832622499999999</v>
      </c>
      <c r="K268" s="33">
        <f t="shared" si="61"/>
        <v>2.8248933749999997E-2</v>
      </c>
      <c r="L268" s="33"/>
      <c r="O268" s="2">
        <f t="shared" si="62"/>
        <v>3.5267083333333331E-2</v>
      </c>
      <c r="P268" s="2">
        <f t="shared" si="63"/>
        <v>25.392299999999995</v>
      </c>
      <c r="Q268" s="7">
        <f t="shared" si="64"/>
        <v>115.00135869565216</v>
      </c>
      <c r="R268" s="2">
        <v>1.2</v>
      </c>
      <c r="S268" s="2">
        <f t="shared" si="59"/>
        <v>4.45</v>
      </c>
      <c r="T268" s="2"/>
      <c r="U268" s="2"/>
      <c r="Y268" s="8">
        <f t="shared" si="60"/>
        <v>4.0940483695652174</v>
      </c>
    </row>
    <row r="269" spans="1:25" x14ac:dyDescent="0.25">
      <c r="A269" s="34">
        <f t="shared" si="57"/>
        <v>261</v>
      </c>
      <c r="B269" s="35">
        <f t="shared" si="57"/>
        <v>235</v>
      </c>
      <c r="C269" s="42" t="s">
        <v>116</v>
      </c>
      <c r="D269" s="44" t="s">
        <v>96</v>
      </c>
      <c r="E269" s="43">
        <v>1</v>
      </c>
      <c r="F269" s="36">
        <f>172351/1000000</f>
        <v>0.172351</v>
      </c>
      <c r="G269" s="36">
        <f t="shared" si="54"/>
        <v>3.3953147000000003E-2</v>
      </c>
      <c r="H269" s="36">
        <f>77649/1000000</f>
        <v>7.7648999999999996E-2</v>
      </c>
      <c r="I269" s="37">
        <f t="shared" si="55"/>
        <v>1.1647349999999999E-2</v>
      </c>
      <c r="J269" s="32">
        <f t="shared" si="58"/>
        <v>0.17276902499999999</v>
      </c>
      <c r="K269" s="33">
        <f t="shared" si="61"/>
        <v>2.5915353749999998E-2</v>
      </c>
      <c r="L269" s="33"/>
      <c r="O269" s="2">
        <f t="shared" si="62"/>
        <v>3.2353750000000001E-2</v>
      </c>
      <c r="P269" s="2">
        <f t="shared" si="63"/>
        <v>23.294699999999999</v>
      </c>
      <c r="Q269" s="7">
        <f t="shared" si="64"/>
        <v>105.50135869565217</v>
      </c>
      <c r="R269" s="2">
        <v>1.2</v>
      </c>
      <c r="S269" s="2">
        <f t="shared" si="59"/>
        <v>4.45</v>
      </c>
      <c r="T269" s="2"/>
      <c r="U269" s="2"/>
      <c r="Y269" s="8">
        <f t="shared" si="60"/>
        <v>3.7558483695652174</v>
      </c>
    </row>
    <row r="270" spans="1:25" x14ac:dyDescent="0.25">
      <c r="A270" s="34">
        <f t="shared" si="57"/>
        <v>262</v>
      </c>
      <c r="B270" s="35">
        <f t="shared" si="57"/>
        <v>236</v>
      </c>
      <c r="C270" s="42" t="s">
        <v>116</v>
      </c>
      <c r="D270" s="41" t="s">
        <v>96</v>
      </c>
      <c r="E270" s="35">
        <v>2</v>
      </c>
      <c r="F270" s="36">
        <f>172351/1000000</f>
        <v>0.172351</v>
      </c>
      <c r="G270" s="36">
        <f t="shared" si="54"/>
        <v>3.3953147000000003E-2</v>
      </c>
      <c r="H270" s="36">
        <f>77649/1000000</f>
        <v>7.7648999999999996E-2</v>
      </c>
      <c r="I270" s="37">
        <f t="shared" si="55"/>
        <v>1.1647349999999999E-2</v>
      </c>
      <c r="J270" s="32">
        <f t="shared" si="58"/>
        <v>0.17276902499999999</v>
      </c>
      <c r="K270" s="33">
        <f t="shared" si="61"/>
        <v>2.5915353749999998E-2</v>
      </c>
      <c r="L270" s="33"/>
      <c r="O270" s="2">
        <f t="shared" si="62"/>
        <v>3.2353750000000001E-2</v>
      </c>
      <c r="P270" s="2">
        <f t="shared" si="63"/>
        <v>23.294699999999999</v>
      </c>
      <c r="Q270" s="7">
        <f t="shared" si="64"/>
        <v>105.50135869565217</v>
      </c>
      <c r="R270" s="2">
        <v>1.2</v>
      </c>
      <c r="S270" s="2">
        <f t="shared" si="59"/>
        <v>4.45</v>
      </c>
      <c r="T270" s="2"/>
      <c r="U270" s="2"/>
      <c r="Y270" s="8">
        <f t="shared" si="60"/>
        <v>3.7558483695652174</v>
      </c>
    </row>
    <row r="271" spans="1:25" x14ac:dyDescent="0.25">
      <c r="A271" s="34">
        <f t="shared" si="57"/>
        <v>263</v>
      </c>
      <c r="B271" s="35">
        <f t="shared" si="57"/>
        <v>237</v>
      </c>
      <c r="C271" s="42" t="s">
        <v>116</v>
      </c>
      <c r="D271" s="44" t="s">
        <v>33</v>
      </c>
      <c r="E271" s="43"/>
      <c r="F271" s="36">
        <f>190089/1000000</f>
        <v>0.19008900000000001</v>
      </c>
      <c r="G271" s="36">
        <f t="shared" si="54"/>
        <v>3.7447533000000005E-2</v>
      </c>
      <c r="H271" s="36">
        <f>79486/1000000</f>
        <v>7.9486000000000001E-2</v>
      </c>
      <c r="I271" s="37">
        <f t="shared" si="55"/>
        <v>1.19229E-2</v>
      </c>
      <c r="J271" s="32">
        <f t="shared" si="58"/>
        <v>0.17685635000000005</v>
      </c>
      <c r="K271" s="33">
        <f t="shared" si="61"/>
        <v>2.6528452500000008E-2</v>
      </c>
      <c r="L271" s="33"/>
      <c r="O271" s="2">
        <f t="shared" si="62"/>
        <v>3.3119166666666672E-2</v>
      </c>
      <c r="P271" s="2">
        <f t="shared" si="63"/>
        <v>23.845800000000004</v>
      </c>
      <c r="Q271" s="7">
        <f t="shared" si="64"/>
        <v>107.99728260869567</v>
      </c>
      <c r="R271" s="2">
        <v>1.2</v>
      </c>
      <c r="S271" s="2">
        <f t="shared" si="59"/>
        <v>4.45</v>
      </c>
      <c r="T271" s="2"/>
      <c r="U271" s="2"/>
      <c r="Y271" s="8">
        <f t="shared" si="60"/>
        <v>3.8447032608695664</v>
      </c>
    </row>
    <row r="272" spans="1:25" x14ac:dyDescent="0.25">
      <c r="A272" s="34">
        <f t="shared" si="57"/>
        <v>264</v>
      </c>
      <c r="B272" s="35">
        <f t="shared" si="57"/>
        <v>238</v>
      </c>
      <c r="C272" s="42" t="s">
        <v>116</v>
      </c>
      <c r="D272" s="43">
        <v>22</v>
      </c>
      <c r="E272" s="43">
        <v>1</v>
      </c>
      <c r="F272" s="36">
        <f>192255/1000000</f>
        <v>0.19225500000000001</v>
      </c>
      <c r="G272" s="36">
        <f t="shared" si="54"/>
        <v>3.7874235000000006E-2</v>
      </c>
      <c r="H272" s="36">
        <f>80224/1000000</f>
        <v>8.0224000000000004E-2</v>
      </c>
      <c r="I272" s="37">
        <f t="shared" si="55"/>
        <v>1.20336E-2</v>
      </c>
      <c r="J272" s="32">
        <f t="shared" si="58"/>
        <v>0.1784984</v>
      </c>
      <c r="K272" s="33">
        <f t="shared" si="61"/>
        <v>2.6774759999999998E-2</v>
      </c>
      <c r="L272" s="33"/>
      <c r="O272" s="2">
        <f t="shared" si="62"/>
        <v>3.3426666666666667E-2</v>
      </c>
      <c r="P272" s="2">
        <f t="shared" si="63"/>
        <v>24.067200000000003</v>
      </c>
      <c r="Q272" s="7">
        <f t="shared" si="64"/>
        <v>109.00000000000001</v>
      </c>
      <c r="R272" s="2">
        <v>1.2</v>
      </c>
      <c r="S272" s="2">
        <f t="shared" si="59"/>
        <v>4.45</v>
      </c>
      <c r="T272" s="2"/>
      <c r="U272" s="2"/>
      <c r="Y272" s="8">
        <f t="shared" si="60"/>
        <v>3.8803999999999998</v>
      </c>
    </row>
    <row r="273" spans="1:25" x14ac:dyDescent="0.25">
      <c r="A273" s="34">
        <f t="shared" si="57"/>
        <v>265</v>
      </c>
      <c r="B273" s="35">
        <f t="shared" si="57"/>
        <v>239</v>
      </c>
      <c r="C273" s="42" t="s">
        <v>116</v>
      </c>
      <c r="D273" s="35">
        <v>22</v>
      </c>
      <c r="E273" s="35">
        <v>2</v>
      </c>
      <c r="F273" s="36">
        <f>192255/1000000</f>
        <v>0.19225500000000001</v>
      </c>
      <c r="G273" s="36">
        <f t="shared" si="54"/>
        <v>3.7874235000000006E-2</v>
      </c>
      <c r="H273" s="36">
        <f>80224/1000000</f>
        <v>8.0224000000000004E-2</v>
      </c>
      <c r="I273" s="37">
        <f t="shared" si="55"/>
        <v>1.20336E-2</v>
      </c>
      <c r="J273" s="32">
        <f t="shared" si="58"/>
        <v>0.1784984</v>
      </c>
      <c r="K273" s="33">
        <f t="shared" si="61"/>
        <v>2.6774759999999998E-2</v>
      </c>
      <c r="L273" s="33"/>
      <c r="O273" s="2">
        <f t="shared" si="62"/>
        <v>3.3426666666666667E-2</v>
      </c>
      <c r="P273" s="2">
        <f t="shared" si="63"/>
        <v>24.067200000000003</v>
      </c>
      <c r="Q273" s="7">
        <f t="shared" si="64"/>
        <v>109.00000000000001</v>
      </c>
      <c r="R273" s="2">
        <v>1.2</v>
      </c>
      <c r="S273" s="2">
        <f t="shared" si="59"/>
        <v>4.45</v>
      </c>
      <c r="T273" s="2"/>
      <c r="U273" s="2"/>
      <c r="Y273" s="8">
        <f t="shared" si="60"/>
        <v>3.8803999999999998</v>
      </c>
    </row>
    <row r="274" spans="1:25" x14ac:dyDescent="0.25">
      <c r="A274" s="34">
        <f t="shared" si="57"/>
        <v>266</v>
      </c>
      <c r="B274" s="35">
        <f t="shared" si="57"/>
        <v>240</v>
      </c>
      <c r="C274" s="42" t="s">
        <v>116</v>
      </c>
      <c r="D274" s="44" t="s">
        <v>119</v>
      </c>
      <c r="E274" s="43">
        <v>1</v>
      </c>
      <c r="F274" s="36">
        <f>147465/1000000</f>
        <v>0.14746500000000001</v>
      </c>
      <c r="G274" s="36">
        <f t="shared" si="54"/>
        <v>2.9050605000000004E-2</v>
      </c>
      <c r="H274" s="36">
        <f>58880/1000000</f>
        <v>5.8880000000000002E-2</v>
      </c>
      <c r="I274" s="37">
        <f t="shared" si="55"/>
        <v>8.8319999999999996E-3</v>
      </c>
      <c r="J274" s="32">
        <f t="shared" si="58"/>
        <v>0.13100800000000001</v>
      </c>
      <c r="K274" s="33">
        <f t="shared" si="61"/>
        <v>1.9651200000000001E-2</v>
      </c>
      <c r="L274" s="33"/>
      <c r="O274" s="2">
        <f t="shared" si="62"/>
        <v>2.4533333333333334E-2</v>
      </c>
      <c r="P274" s="2">
        <f t="shared" si="63"/>
        <v>17.664000000000001</v>
      </c>
      <c r="Q274" s="7">
        <f t="shared" si="64"/>
        <v>80.000000000000014</v>
      </c>
      <c r="R274" s="2">
        <v>1.2</v>
      </c>
      <c r="S274" s="2">
        <f t="shared" si="59"/>
        <v>4.45</v>
      </c>
      <c r="T274" s="2"/>
      <c r="U274" s="2"/>
      <c r="Y274" s="8">
        <f t="shared" si="60"/>
        <v>2.8480000000000003</v>
      </c>
    </row>
    <row r="275" spans="1:25" x14ac:dyDescent="0.25">
      <c r="A275" s="34">
        <f t="shared" si="57"/>
        <v>267</v>
      </c>
      <c r="B275" s="35">
        <f t="shared" si="57"/>
        <v>241</v>
      </c>
      <c r="C275" s="42" t="s">
        <v>116</v>
      </c>
      <c r="D275" s="41" t="s">
        <v>119</v>
      </c>
      <c r="E275" s="35">
        <v>2</v>
      </c>
      <c r="F275" s="36">
        <f>73733/1000000</f>
        <v>7.3733000000000007E-2</v>
      </c>
      <c r="G275" s="36">
        <f t="shared" si="54"/>
        <v>1.4525401000000002E-2</v>
      </c>
      <c r="H275" s="36">
        <f>29440/1000000</f>
        <v>2.9440000000000001E-2</v>
      </c>
      <c r="I275" s="37">
        <f t="shared" si="55"/>
        <v>4.4159999999999998E-3</v>
      </c>
      <c r="J275" s="32">
        <f t="shared" si="58"/>
        <v>6.5504000000000007E-2</v>
      </c>
      <c r="K275" s="33">
        <f t="shared" si="61"/>
        <v>9.8256000000000003E-3</v>
      </c>
      <c r="L275" s="33"/>
      <c r="O275" s="2">
        <f t="shared" si="62"/>
        <v>1.2266666666666667E-2</v>
      </c>
      <c r="P275" s="2">
        <f t="shared" si="63"/>
        <v>8.8320000000000007</v>
      </c>
      <c r="Q275" s="7">
        <f t="shared" si="64"/>
        <v>40.000000000000007</v>
      </c>
      <c r="R275" s="2">
        <v>1.2</v>
      </c>
      <c r="S275" s="2">
        <f t="shared" si="59"/>
        <v>4.45</v>
      </c>
      <c r="T275" s="2"/>
      <c r="U275" s="2"/>
      <c r="Y275" s="8">
        <f t="shared" si="60"/>
        <v>1.4240000000000002</v>
      </c>
    </row>
    <row r="276" spans="1:25" x14ac:dyDescent="0.25">
      <c r="A276" s="34">
        <f t="shared" ref="A276:B291" si="65">A275+1</f>
        <v>268</v>
      </c>
      <c r="B276" s="35">
        <f t="shared" si="65"/>
        <v>242</v>
      </c>
      <c r="C276" s="42" t="s">
        <v>116</v>
      </c>
      <c r="D276" s="44" t="s">
        <v>100</v>
      </c>
      <c r="E276" s="43">
        <v>1</v>
      </c>
      <c r="F276" s="36">
        <f>207649/1000000</f>
        <v>0.207649</v>
      </c>
      <c r="G276" s="36">
        <f t="shared" si="54"/>
        <v>4.0906853E-2</v>
      </c>
      <c r="H276" s="36">
        <f>127327/1000000</f>
        <v>0.127327</v>
      </c>
      <c r="I276" s="37">
        <f t="shared" si="55"/>
        <v>1.9099049999999999E-2</v>
      </c>
      <c r="J276" s="32">
        <f t="shared" si="58"/>
        <v>0.23555495000000001</v>
      </c>
      <c r="K276" s="33">
        <f t="shared" si="61"/>
        <v>3.5333242500000001E-2</v>
      </c>
      <c r="L276" s="33"/>
      <c r="O276" s="2">
        <f t="shared" si="62"/>
        <v>5.3052916666666665E-2</v>
      </c>
      <c r="P276" s="2">
        <f t="shared" si="63"/>
        <v>38.198099999999997</v>
      </c>
      <c r="Q276" s="7">
        <f t="shared" si="64"/>
        <v>172.99864130434781</v>
      </c>
      <c r="R276" s="2">
        <v>1.2</v>
      </c>
      <c r="S276" s="2">
        <f t="shared" si="59"/>
        <v>3.7</v>
      </c>
      <c r="T276" s="2"/>
      <c r="U276" s="2"/>
      <c r="Y276" s="8">
        <f t="shared" si="60"/>
        <v>5.1207597826086957</v>
      </c>
    </row>
    <row r="277" spans="1:25" x14ac:dyDescent="0.25">
      <c r="A277" s="34">
        <f t="shared" si="65"/>
        <v>269</v>
      </c>
      <c r="B277" s="35">
        <f t="shared" si="65"/>
        <v>243</v>
      </c>
      <c r="C277" s="42" t="s">
        <v>116</v>
      </c>
      <c r="D277" s="41" t="s">
        <v>100</v>
      </c>
      <c r="E277" s="35">
        <v>2</v>
      </c>
      <c r="F277" s="36">
        <f>207649/1000000</f>
        <v>0.207649</v>
      </c>
      <c r="G277" s="36">
        <f t="shared" si="54"/>
        <v>4.0906853E-2</v>
      </c>
      <c r="H277" s="36"/>
      <c r="I277" s="37">
        <f t="shared" si="55"/>
        <v>0</v>
      </c>
      <c r="J277" s="32">
        <f t="shared" si="58"/>
        <v>0</v>
      </c>
      <c r="K277" s="33">
        <f t="shared" si="61"/>
        <v>0</v>
      </c>
      <c r="L277" s="33"/>
      <c r="O277" s="2">
        <f t="shared" si="62"/>
        <v>0</v>
      </c>
      <c r="P277" s="2">
        <f t="shared" si="63"/>
        <v>0</v>
      </c>
      <c r="Q277" s="7">
        <f t="shared" si="64"/>
        <v>0</v>
      </c>
      <c r="R277" s="2">
        <v>1.2</v>
      </c>
      <c r="S277" s="2">
        <f t="shared" si="59"/>
        <v>4.45</v>
      </c>
      <c r="T277" s="2"/>
      <c r="U277" s="2"/>
      <c r="Y277" s="8">
        <f t="shared" si="60"/>
        <v>0</v>
      </c>
    </row>
    <row r="278" spans="1:25" x14ac:dyDescent="0.25">
      <c r="A278" s="34">
        <f t="shared" si="65"/>
        <v>270</v>
      </c>
      <c r="B278" s="35"/>
      <c r="C278" s="42" t="s">
        <v>116</v>
      </c>
      <c r="D278" s="35">
        <v>26</v>
      </c>
      <c r="E278" s="35">
        <v>1</v>
      </c>
      <c r="F278" s="36">
        <f>227000/1000000/2</f>
        <v>0.1135</v>
      </c>
      <c r="G278" s="36">
        <f>F278*0.197</f>
        <v>2.2359500000000001E-2</v>
      </c>
      <c r="H278" s="36">
        <f>122176/1000000/2</f>
        <v>6.1088000000000003E-2</v>
      </c>
      <c r="I278" s="37">
        <f>H278*0.15</f>
        <v>9.1631999999999998E-3</v>
      </c>
      <c r="J278" s="32">
        <f t="shared" si="58"/>
        <v>0.13592080000000001</v>
      </c>
      <c r="K278" s="33">
        <f t="shared" si="61"/>
        <v>2.0388119999999999E-2</v>
      </c>
      <c r="L278" s="33"/>
      <c r="O278" s="2">
        <f t="shared" si="62"/>
        <v>2.5453333333333335E-2</v>
      </c>
      <c r="P278" s="2">
        <f t="shared" si="63"/>
        <v>18.326400000000003</v>
      </c>
      <c r="Q278" s="7">
        <f t="shared" si="64"/>
        <v>83.000000000000014</v>
      </c>
      <c r="R278" s="2">
        <v>1.2</v>
      </c>
      <c r="S278" s="2">
        <f t="shared" si="59"/>
        <v>4.45</v>
      </c>
      <c r="T278" s="2"/>
      <c r="U278" s="2"/>
      <c r="Y278" s="8">
        <f t="shared" si="60"/>
        <v>2.9548000000000001</v>
      </c>
    </row>
    <row r="279" spans="1:25" x14ac:dyDescent="0.25">
      <c r="A279" s="34">
        <f t="shared" si="65"/>
        <v>271</v>
      </c>
      <c r="B279" s="35"/>
      <c r="C279" s="42" t="s">
        <v>116</v>
      </c>
      <c r="D279" s="35">
        <v>26</v>
      </c>
      <c r="E279" s="35">
        <v>2</v>
      </c>
      <c r="F279" s="36">
        <f>227000/1000000/2</f>
        <v>0.1135</v>
      </c>
      <c r="G279" s="36">
        <f>F279*0.197</f>
        <v>2.2359500000000001E-2</v>
      </c>
      <c r="H279" s="36">
        <f>122176/1000000/2</f>
        <v>6.1088000000000003E-2</v>
      </c>
      <c r="I279" s="37">
        <f>H279*0.15</f>
        <v>9.1631999999999998E-3</v>
      </c>
      <c r="J279" s="32">
        <f t="shared" si="58"/>
        <v>0.13592080000000001</v>
      </c>
      <c r="K279" s="33">
        <f t="shared" si="61"/>
        <v>2.0388119999999999E-2</v>
      </c>
      <c r="L279" s="33"/>
      <c r="O279" s="2">
        <f t="shared" si="62"/>
        <v>2.5453333333333335E-2</v>
      </c>
      <c r="P279" s="2">
        <f t="shared" si="63"/>
        <v>18.326400000000003</v>
      </c>
      <c r="Q279" s="7">
        <f t="shared" si="64"/>
        <v>83.000000000000014</v>
      </c>
      <c r="R279" s="2">
        <v>1.2</v>
      </c>
      <c r="S279" s="2">
        <f t="shared" si="59"/>
        <v>4.45</v>
      </c>
      <c r="T279" s="2"/>
      <c r="U279" s="2"/>
      <c r="Y279" s="8">
        <f t="shared" si="60"/>
        <v>2.9548000000000001</v>
      </c>
    </row>
    <row r="280" spans="1:25" x14ac:dyDescent="0.25">
      <c r="A280" s="34">
        <f t="shared" si="65"/>
        <v>272</v>
      </c>
      <c r="B280" s="35">
        <f>B277+1</f>
        <v>244</v>
      </c>
      <c r="C280" s="42" t="s">
        <v>116</v>
      </c>
      <c r="D280" s="44" t="s">
        <v>120</v>
      </c>
      <c r="E280" s="43">
        <v>1</v>
      </c>
      <c r="F280" s="36">
        <f>124130/1000000</f>
        <v>0.12413</v>
      </c>
      <c r="G280" s="36">
        <f t="shared" si="54"/>
        <v>2.4453610000000001E-2</v>
      </c>
      <c r="H280" s="36">
        <f>51888/1000000</f>
        <v>5.1887999999999997E-2</v>
      </c>
      <c r="I280" s="37">
        <f t="shared" si="55"/>
        <v>7.7831999999999988E-3</v>
      </c>
      <c r="J280" s="32">
        <f t="shared" si="58"/>
        <v>0.11545079999999999</v>
      </c>
      <c r="K280" s="33">
        <f t="shared" si="61"/>
        <v>1.7317619999999999E-2</v>
      </c>
      <c r="L280" s="33"/>
      <c r="O280" s="2">
        <f t="shared" si="62"/>
        <v>2.162E-2</v>
      </c>
      <c r="P280" s="2">
        <f t="shared" si="63"/>
        <v>15.5664</v>
      </c>
      <c r="Q280" s="7">
        <f t="shared" si="64"/>
        <v>70.5</v>
      </c>
      <c r="R280" s="2">
        <v>1.2</v>
      </c>
      <c r="S280" s="2">
        <f t="shared" si="59"/>
        <v>4.45</v>
      </c>
      <c r="T280" s="2"/>
      <c r="U280" s="2"/>
      <c r="Y280" s="8">
        <f t="shared" si="60"/>
        <v>2.5097999999999998</v>
      </c>
    </row>
    <row r="281" spans="1:25" x14ac:dyDescent="0.25">
      <c r="A281" s="34">
        <f t="shared" si="65"/>
        <v>273</v>
      </c>
      <c r="B281" s="35">
        <f t="shared" si="65"/>
        <v>245</v>
      </c>
      <c r="C281" s="42" t="s">
        <v>116</v>
      </c>
      <c r="D281" s="41" t="s">
        <v>120</v>
      </c>
      <c r="E281" s="35">
        <v>2</v>
      </c>
      <c r="F281" s="36">
        <f>124130/1000000</f>
        <v>0.12413</v>
      </c>
      <c r="G281" s="36">
        <f t="shared" si="54"/>
        <v>2.4453610000000001E-2</v>
      </c>
      <c r="H281" s="36">
        <f>51888/1000000</f>
        <v>5.1887999999999997E-2</v>
      </c>
      <c r="I281" s="37">
        <f t="shared" si="55"/>
        <v>7.7831999999999988E-3</v>
      </c>
      <c r="J281" s="32">
        <f t="shared" si="58"/>
        <v>0.11545079999999999</v>
      </c>
      <c r="K281" s="33">
        <f t="shared" si="61"/>
        <v>1.7317619999999999E-2</v>
      </c>
      <c r="L281" s="33"/>
      <c r="O281" s="2">
        <f t="shared" si="62"/>
        <v>2.162E-2</v>
      </c>
      <c r="P281" s="2">
        <f t="shared" si="63"/>
        <v>15.5664</v>
      </c>
      <c r="Q281" s="7">
        <f t="shared" si="64"/>
        <v>70.5</v>
      </c>
      <c r="R281" s="2">
        <v>1.2</v>
      </c>
      <c r="S281" s="2">
        <f t="shared" si="59"/>
        <v>4.45</v>
      </c>
      <c r="T281" s="2"/>
      <c r="U281" s="2"/>
      <c r="Y281" s="8">
        <f t="shared" si="60"/>
        <v>2.5097999999999998</v>
      </c>
    </row>
    <row r="282" spans="1:25" x14ac:dyDescent="0.25">
      <c r="A282" s="34">
        <f t="shared" si="65"/>
        <v>274</v>
      </c>
      <c r="B282" s="35">
        <f t="shared" si="65"/>
        <v>246</v>
      </c>
      <c r="C282" s="42" t="s">
        <v>116</v>
      </c>
      <c r="D282" s="44" t="s">
        <v>103</v>
      </c>
      <c r="E282" s="43"/>
      <c r="F282" s="36">
        <f>128600/1000000</f>
        <v>0.12859999999999999</v>
      </c>
      <c r="G282" s="36">
        <f t="shared" si="54"/>
        <v>2.5334200000000001E-2</v>
      </c>
      <c r="H282" s="36">
        <f>36800/1000000</f>
        <v>3.6799999999999999E-2</v>
      </c>
      <c r="I282" s="37">
        <f t="shared" si="55"/>
        <v>5.5199999999999997E-3</v>
      </c>
      <c r="J282" s="32">
        <f t="shared" si="58"/>
        <v>8.1880000000000008E-2</v>
      </c>
      <c r="K282" s="33">
        <f t="shared" si="61"/>
        <v>1.2282000000000001E-2</v>
      </c>
      <c r="L282" s="33"/>
      <c r="O282" s="2">
        <f t="shared" si="62"/>
        <v>1.5333333333333334E-2</v>
      </c>
      <c r="P282" s="2">
        <f t="shared" si="63"/>
        <v>11.04</v>
      </c>
      <c r="Q282" s="7">
        <f t="shared" si="64"/>
        <v>50</v>
      </c>
      <c r="R282" s="2">
        <v>1.2</v>
      </c>
      <c r="S282" s="2">
        <f t="shared" si="59"/>
        <v>4.45</v>
      </c>
      <c r="T282" s="2"/>
      <c r="U282" s="2"/>
      <c r="Y282" s="8">
        <f t="shared" si="60"/>
        <v>1.78</v>
      </c>
    </row>
    <row r="283" spans="1:25" x14ac:dyDescent="0.25">
      <c r="A283" s="34">
        <f t="shared" si="65"/>
        <v>275</v>
      </c>
      <c r="B283" s="35">
        <f t="shared" si="65"/>
        <v>247</v>
      </c>
      <c r="C283" s="42" t="s">
        <v>116</v>
      </c>
      <c r="D283" s="44" t="s">
        <v>64</v>
      </c>
      <c r="E283" s="43"/>
      <c r="F283" s="36">
        <f>105087/1000000</f>
        <v>0.105087</v>
      </c>
      <c r="G283" s="36">
        <f t="shared" si="54"/>
        <v>2.0702139000000001E-2</v>
      </c>
      <c r="H283" s="36">
        <f>31646/1000000</f>
        <v>3.1646000000000001E-2</v>
      </c>
      <c r="I283" s="37">
        <f t="shared" si="55"/>
        <v>4.7469000000000001E-3</v>
      </c>
      <c r="J283" s="32">
        <f t="shared" si="58"/>
        <v>7.0412349999999999E-2</v>
      </c>
      <c r="K283" s="33">
        <f t="shared" si="61"/>
        <v>1.05618525E-2</v>
      </c>
      <c r="L283" s="33"/>
      <c r="O283" s="2">
        <f t="shared" si="62"/>
        <v>1.3185833333333334E-2</v>
      </c>
      <c r="P283" s="2">
        <f t="shared" si="63"/>
        <v>9.4938000000000002</v>
      </c>
      <c r="Q283" s="7">
        <f t="shared" si="64"/>
        <v>42.997282608695656</v>
      </c>
      <c r="R283" s="2">
        <v>1.2</v>
      </c>
      <c r="S283" s="2">
        <f t="shared" si="59"/>
        <v>4.45</v>
      </c>
      <c r="T283" s="2"/>
      <c r="U283" s="2"/>
      <c r="Y283" s="8">
        <f t="shared" si="60"/>
        <v>1.5307032608695652</v>
      </c>
    </row>
    <row r="284" spans="1:25" x14ac:dyDescent="0.25">
      <c r="A284" s="34">
        <f t="shared" si="65"/>
        <v>276</v>
      </c>
      <c r="B284" s="35">
        <f t="shared" si="65"/>
        <v>248</v>
      </c>
      <c r="C284" s="42" t="s">
        <v>116</v>
      </c>
      <c r="D284" s="44" t="s">
        <v>104</v>
      </c>
      <c r="E284" s="43"/>
      <c r="F284" s="36">
        <f>98635/1000000</f>
        <v>9.8635E-2</v>
      </c>
      <c r="G284" s="36">
        <f t="shared" si="54"/>
        <v>1.9431095000000002E-2</v>
      </c>
      <c r="H284" s="36">
        <f>33856/1000000</f>
        <v>3.3855999999999997E-2</v>
      </c>
      <c r="I284" s="37">
        <f t="shared" si="55"/>
        <v>5.0783999999999994E-3</v>
      </c>
      <c r="J284" s="32">
        <f t="shared" si="58"/>
        <v>7.5329599999999997E-2</v>
      </c>
      <c r="K284" s="33">
        <f t="shared" si="61"/>
        <v>1.1299439999999999E-2</v>
      </c>
      <c r="L284" s="33"/>
      <c r="O284" s="2">
        <f t="shared" si="62"/>
        <v>1.4106666666666667E-2</v>
      </c>
      <c r="P284" s="2">
        <f t="shared" si="63"/>
        <v>10.156799999999999</v>
      </c>
      <c r="Q284" s="7">
        <f t="shared" si="64"/>
        <v>45.999999999999993</v>
      </c>
      <c r="R284" s="2">
        <v>1.2</v>
      </c>
      <c r="S284" s="2">
        <f t="shared" si="59"/>
        <v>4.45</v>
      </c>
      <c r="T284" s="2"/>
      <c r="U284" s="2"/>
      <c r="Y284" s="8">
        <f t="shared" si="60"/>
        <v>1.6375999999999999</v>
      </c>
    </row>
    <row r="285" spans="1:25" x14ac:dyDescent="0.25">
      <c r="A285" s="34">
        <f t="shared" si="65"/>
        <v>277</v>
      </c>
      <c r="B285" s="35">
        <f t="shared" si="65"/>
        <v>249</v>
      </c>
      <c r="C285" s="42" t="s">
        <v>116</v>
      </c>
      <c r="D285" s="43">
        <v>32</v>
      </c>
      <c r="E285" s="43"/>
      <c r="F285" s="36">
        <f>109710/1000000</f>
        <v>0.10971</v>
      </c>
      <c r="G285" s="36">
        <f t="shared" si="54"/>
        <v>2.1612870000000003E-2</v>
      </c>
      <c r="H285" s="36">
        <f>39744/1000000</f>
        <v>3.9744000000000002E-2</v>
      </c>
      <c r="I285" s="37">
        <f t="shared" si="55"/>
        <v>5.9616000000000001E-3</v>
      </c>
      <c r="J285" s="32">
        <f t="shared" si="58"/>
        <v>8.8430400000000006E-2</v>
      </c>
      <c r="K285" s="33">
        <f t="shared" si="61"/>
        <v>1.326456E-2</v>
      </c>
      <c r="L285" s="33"/>
      <c r="O285" s="2">
        <f t="shared" si="62"/>
        <v>1.6560000000000002E-2</v>
      </c>
      <c r="P285" s="2">
        <f t="shared" si="63"/>
        <v>11.923200000000001</v>
      </c>
      <c r="Q285" s="7">
        <f t="shared" si="64"/>
        <v>54.000000000000007</v>
      </c>
      <c r="R285" s="2">
        <v>1.2</v>
      </c>
      <c r="S285" s="2">
        <f t="shared" si="59"/>
        <v>4.45</v>
      </c>
      <c r="T285" s="2"/>
      <c r="U285" s="2"/>
      <c r="Y285" s="8">
        <f t="shared" si="60"/>
        <v>1.9224000000000001</v>
      </c>
    </row>
    <row r="286" spans="1:25" x14ac:dyDescent="0.25">
      <c r="A286" s="34">
        <f t="shared" si="65"/>
        <v>278</v>
      </c>
      <c r="B286" s="35">
        <f t="shared" si="65"/>
        <v>250</v>
      </c>
      <c r="C286" s="42" t="s">
        <v>116</v>
      </c>
      <c r="D286" s="43">
        <v>33</v>
      </c>
      <c r="E286" s="43"/>
      <c r="F286" s="36">
        <f>300662/1000000</f>
        <v>0.30066199999999998</v>
      </c>
      <c r="G286" s="36">
        <f t="shared" si="54"/>
        <v>5.9230414000000002E-2</v>
      </c>
      <c r="H286" s="36">
        <f>107458/1000000</f>
        <v>0.107458</v>
      </c>
      <c r="I286" s="37">
        <f t="shared" si="55"/>
        <v>1.61187E-2</v>
      </c>
      <c r="J286" s="32">
        <f t="shared" si="58"/>
        <v>0.23909405000000003</v>
      </c>
      <c r="K286" s="33">
        <f t="shared" si="61"/>
        <v>3.5864107500000006E-2</v>
      </c>
      <c r="L286" s="33"/>
      <c r="O286" s="2">
        <f t="shared" si="62"/>
        <v>4.477416666666667E-2</v>
      </c>
      <c r="P286" s="2">
        <f t="shared" si="63"/>
        <v>32.237400000000001</v>
      </c>
      <c r="Q286" s="7">
        <f t="shared" si="64"/>
        <v>146.00271739130434</v>
      </c>
      <c r="R286" s="2">
        <v>1.2</v>
      </c>
      <c r="S286" s="2">
        <f t="shared" si="59"/>
        <v>4.45</v>
      </c>
      <c r="T286" s="2"/>
      <c r="U286" s="2"/>
      <c r="Y286" s="8">
        <f t="shared" si="60"/>
        <v>5.1976967391304356</v>
      </c>
    </row>
    <row r="287" spans="1:25" x14ac:dyDescent="0.25">
      <c r="A287" s="34">
        <f t="shared" si="65"/>
        <v>279</v>
      </c>
      <c r="B287" s="35">
        <f t="shared" si="65"/>
        <v>251</v>
      </c>
      <c r="C287" s="42" t="s">
        <v>116</v>
      </c>
      <c r="D287" s="43" t="s">
        <v>108</v>
      </c>
      <c r="E287" s="43"/>
      <c r="F287" s="36">
        <f>216423/1000000</f>
        <v>0.216423</v>
      </c>
      <c r="G287" s="36">
        <f t="shared" si="54"/>
        <v>4.2635331000000005E-2</v>
      </c>
      <c r="H287" s="36">
        <f>71392/1000000</f>
        <v>7.1391999999999997E-2</v>
      </c>
      <c r="I287" s="37">
        <f t="shared" si="55"/>
        <v>1.0708799999999999E-2</v>
      </c>
      <c r="J287" s="32">
        <f t="shared" si="58"/>
        <v>0.15884719999999999</v>
      </c>
      <c r="K287" s="33">
        <f t="shared" si="61"/>
        <v>2.3827079999999997E-2</v>
      </c>
      <c r="L287" s="33"/>
      <c r="O287" s="2">
        <f t="shared" si="62"/>
        <v>2.9746666666666668E-2</v>
      </c>
      <c r="P287" s="2">
        <f t="shared" si="63"/>
        <v>21.4176</v>
      </c>
      <c r="Q287" s="7">
        <f t="shared" si="64"/>
        <v>97</v>
      </c>
      <c r="R287" s="2">
        <v>1.2</v>
      </c>
      <c r="S287" s="2">
        <f t="shared" si="59"/>
        <v>4.45</v>
      </c>
      <c r="T287" s="2"/>
      <c r="U287" s="2"/>
      <c r="Y287" s="8">
        <f t="shared" si="60"/>
        <v>3.4531999999999998</v>
      </c>
    </row>
    <row r="288" spans="1:25" x14ac:dyDescent="0.25">
      <c r="A288" s="34">
        <f t="shared" si="65"/>
        <v>280</v>
      </c>
      <c r="B288" s="35">
        <f t="shared" si="65"/>
        <v>252</v>
      </c>
      <c r="C288" s="42" t="s">
        <v>116</v>
      </c>
      <c r="D288" s="43">
        <v>35</v>
      </c>
      <c r="E288" s="43"/>
      <c r="F288" s="36">
        <f>284676/1000000</f>
        <v>0.28467599999999998</v>
      </c>
      <c r="G288" s="36">
        <f t="shared" si="54"/>
        <v>5.6081171999999999E-2</v>
      </c>
      <c r="H288" s="36">
        <f>122914/1000000</f>
        <v>0.122914</v>
      </c>
      <c r="I288" s="37">
        <f t="shared" si="55"/>
        <v>1.8437099999999998E-2</v>
      </c>
      <c r="J288" s="32">
        <f t="shared" si="58"/>
        <v>0.22739090000000001</v>
      </c>
      <c r="K288" s="33">
        <f t="shared" si="61"/>
        <v>3.4108634999999998E-2</v>
      </c>
      <c r="L288" s="33"/>
      <c r="O288" s="2">
        <f t="shared" si="62"/>
        <v>5.1214166666666665E-2</v>
      </c>
      <c r="P288" s="2">
        <f t="shared" si="63"/>
        <v>36.874199999999995</v>
      </c>
      <c r="Q288" s="7">
        <f t="shared" si="64"/>
        <v>167.00271739130432</v>
      </c>
      <c r="R288" s="2">
        <v>1.2</v>
      </c>
      <c r="S288" s="2">
        <f t="shared" si="59"/>
        <v>3.7</v>
      </c>
      <c r="T288" s="2"/>
      <c r="U288" s="2"/>
      <c r="Y288" s="8">
        <f t="shared" si="60"/>
        <v>4.9432804347826087</v>
      </c>
    </row>
    <row r="289" spans="1:25" x14ac:dyDescent="0.25">
      <c r="A289" s="34">
        <f t="shared" si="65"/>
        <v>281</v>
      </c>
      <c r="B289" s="35">
        <f t="shared" si="65"/>
        <v>253</v>
      </c>
      <c r="C289" s="42" t="s">
        <v>116</v>
      </c>
      <c r="D289" s="35">
        <v>37</v>
      </c>
      <c r="E289" s="35"/>
      <c r="F289" s="36">
        <v>0.61399999999999999</v>
      </c>
      <c r="G289" s="36">
        <v>1.21E-2</v>
      </c>
      <c r="H289" s="36">
        <v>0.2177</v>
      </c>
      <c r="I289" s="37">
        <v>3.2660000000000002E-2</v>
      </c>
      <c r="J289" s="32">
        <f t="shared" si="58"/>
        <v>0.38641749999999997</v>
      </c>
      <c r="K289" s="33">
        <f t="shared" si="61"/>
        <v>5.796262499999999E-2</v>
      </c>
      <c r="L289" s="33"/>
      <c r="O289" s="2">
        <f t="shared" si="62"/>
        <v>9.0708333333333335E-2</v>
      </c>
      <c r="P289" s="2">
        <f t="shared" si="63"/>
        <v>65.31</v>
      </c>
      <c r="Q289" s="7">
        <f t="shared" si="64"/>
        <v>295.78804347826087</v>
      </c>
      <c r="R289" s="2">
        <v>1.2</v>
      </c>
      <c r="S289" s="2">
        <f t="shared" si="59"/>
        <v>3.55</v>
      </c>
      <c r="T289" s="2"/>
      <c r="U289" s="2"/>
      <c r="Y289" s="8">
        <f t="shared" si="60"/>
        <v>8.4003804347826083</v>
      </c>
    </row>
    <row r="290" spans="1:25" x14ac:dyDescent="0.25">
      <c r="A290" s="34">
        <f t="shared" si="65"/>
        <v>282</v>
      </c>
      <c r="B290" s="35">
        <f t="shared" si="65"/>
        <v>254</v>
      </c>
      <c r="C290" s="42" t="s">
        <v>116</v>
      </c>
      <c r="D290" s="43">
        <v>38</v>
      </c>
      <c r="E290" s="43"/>
      <c r="F290" s="36">
        <f>309585/1000000</f>
        <v>0.309585</v>
      </c>
      <c r="G290" s="36">
        <f>F290*0.197</f>
        <v>6.0988245000000003E-2</v>
      </c>
      <c r="H290" s="36">
        <f>97152/1000000</f>
        <v>9.7152000000000002E-2</v>
      </c>
      <c r="I290" s="37">
        <f>H290*0.15</f>
        <v>1.45728E-2</v>
      </c>
      <c r="J290" s="32">
        <f t="shared" si="58"/>
        <v>0.2161632</v>
      </c>
      <c r="K290" s="33">
        <f t="shared" si="61"/>
        <v>3.2424479999999999E-2</v>
      </c>
      <c r="L290" s="33"/>
      <c r="O290" s="2">
        <f t="shared" si="62"/>
        <v>4.0480000000000002E-2</v>
      </c>
      <c r="P290" s="2">
        <f t="shared" si="63"/>
        <v>29.145600000000002</v>
      </c>
      <c r="Q290" s="7">
        <f t="shared" si="64"/>
        <v>132</v>
      </c>
      <c r="R290" s="2">
        <v>1.2</v>
      </c>
      <c r="S290" s="2">
        <f t="shared" si="59"/>
        <v>4.45</v>
      </c>
      <c r="T290" s="2"/>
      <c r="U290" s="2"/>
      <c r="Y290" s="8">
        <f t="shared" si="60"/>
        <v>4.6991999999999994</v>
      </c>
    </row>
    <row r="291" spans="1:25" x14ac:dyDescent="0.25">
      <c r="A291" s="34">
        <f t="shared" si="65"/>
        <v>283</v>
      </c>
      <c r="B291" s="35">
        <f t="shared" si="65"/>
        <v>255</v>
      </c>
      <c r="C291" s="42" t="s">
        <v>116</v>
      </c>
      <c r="D291" s="43">
        <v>39</v>
      </c>
      <c r="E291" s="43"/>
      <c r="F291" s="36">
        <f>293968/1000000</f>
        <v>0.29396800000000001</v>
      </c>
      <c r="G291" s="36">
        <f>F291*0.197</f>
        <v>5.7911696000000006E-2</v>
      </c>
      <c r="H291" s="36">
        <f>97154/1000000</f>
        <v>9.7154000000000004E-2</v>
      </c>
      <c r="I291" s="37">
        <f>H291*0.15</f>
        <v>1.45731E-2</v>
      </c>
      <c r="J291" s="32">
        <f t="shared" si="58"/>
        <v>0.21616765000000002</v>
      </c>
      <c r="K291" s="33">
        <f t="shared" si="61"/>
        <v>3.2425147500000001E-2</v>
      </c>
      <c r="L291" s="33"/>
      <c r="O291" s="2">
        <f t="shared" si="62"/>
        <v>4.0480833333333334E-2</v>
      </c>
      <c r="P291" s="2">
        <f t="shared" si="63"/>
        <v>29.1462</v>
      </c>
      <c r="Q291" s="7">
        <f t="shared" si="64"/>
        <v>132.00271739130434</v>
      </c>
      <c r="R291" s="2">
        <v>1.2</v>
      </c>
      <c r="S291" s="2">
        <f t="shared" si="59"/>
        <v>4.45</v>
      </c>
      <c r="T291" s="2"/>
      <c r="U291" s="2"/>
      <c r="Y291" s="8">
        <f t="shared" si="60"/>
        <v>4.6992967391304354</v>
      </c>
    </row>
    <row r="292" spans="1:25" x14ac:dyDescent="0.25">
      <c r="A292" s="34">
        <f t="shared" ref="A292:B307" si="66">A291+1</f>
        <v>284</v>
      </c>
      <c r="B292" s="35">
        <f t="shared" si="66"/>
        <v>256</v>
      </c>
      <c r="C292" s="42" t="s">
        <v>116</v>
      </c>
      <c r="D292" s="43">
        <v>40</v>
      </c>
      <c r="E292" s="43"/>
      <c r="F292" s="36">
        <f>287987/1000000</f>
        <v>0.28798699999999999</v>
      </c>
      <c r="G292" s="36">
        <f>F292*0.197</f>
        <v>5.6733439000000004E-2</v>
      </c>
      <c r="H292" s="36">
        <f>100097/1000000</f>
        <v>0.10009700000000001</v>
      </c>
      <c r="I292" s="37">
        <f>H292*0.15</f>
        <v>1.501455E-2</v>
      </c>
      <c r="J292" s="32">
        <f t="shared" si="58"/>
        <v>0.22271582500000003</v>
      </c>
      <c r="K292" s="33">
        <f t="shared" si="61"/>
        <v>3.3407373750000004E-2</v>
      </c>
      <c r="L292" s="33"/>
      <c r="O292" s="2">
        <f t="shared" si="62"/>
        <v>4.1707083333333339E-2</v>
      </c>
      <c r="P292" s="2">
        <f t="shared" si="63"/>
        <v>30.029100000000003</v>
      </c>
      <c r="Q292" s="7">
        <f t="shared" si="64"/>
        <v>136.00135869565219</v>
      </c>
      <c r="R292" s="2">
        <v>1.2</v>
      </c>
      <c r="S292" s="2">
        <f t="shared" si="59"/>
        <v>4.45</v>
      </c>
      <c r="T292" s="2"/>
      <c r="U292" s="2"/>
      <c r="Y292" s="8">
        <f t="shared" si="60"/>
        <v>4.8416483695652186</v>
      </c>
    </row>
    <row r="293" spans="1:25" x14ac:dyDescent="0.25">
      <c r="A293" s="34">
        <f t="shared" si="66"/>
        <v>285</v>
      </c>
      <c r="B293" s="35">
        <f t="shared" si="66"/>
        <v>257</v>
      </c>
      <c r="C293" s="42" t="s">
        <v>116</v>
      </c>
      <c r="D293" s="35">
        <v>42</v>
      </c>
      <c r="E293" s="35"/>
      <c r="F293" s="36">
        <v>0.42780000000000001</v>
      </c>
      <c r="G293" s="36">
        <v>8.43E-2</v>
      </c>
      <c r="H293" s="36">
        <v>0.12590000000000001</v>
      </c>
      <c r="I293" s="37">
        <v>1.8880000000000001E-2</v>
      </c>
      <c r="J293" s="32">
        <f t="shared" si="58"/>
        <v>0.23291500000000004</v>
      </c>
      <c r="K293" s="33">
        <f t="shared" si="61"/>
        <v>3.4937250000000003E-2</v>
      </c>
      <c r="L293" s="33"/>
      <c r="O293" s="2">
        <f t="shared" si="62"/>
        <v>5.2458333333333343E-2</v>
      </c>
      <c r="P293" s="2">
        <f t="shared" si="63"/>
        <v>37.77000000000001</v>
      </c>
      <c r="Q293" s="7">
        <f t="shared" si="64"/>
        <v>171.05978260869571</v>
      </c>
      <c r="R293" s="2">
        <v>1.2</v>
      </c>
      <c r="S293" s="2">
        <f t="shared" si="59"/>
        <v>3.7</v>
      </c>
      <c r="T293" s="2"/>
      <c r="U293" s="2"/>
      <c r="Y293" s="8">
        <f t="shared" si="60"/>
        <v>5.0633695652173918</v>
      </c>
    </row>
    <row r="294" spans="1:25" x14ac:dyDescent="0.25">
      <c r="A294" s="34">
        <f t="shared" si="66"/>
        <v>286</v>
      </c>
      <c r="B294" s="35">
        <f t="shared" si="66"/>
        <v>258</v>
      </c>
      <c r="C294" s="42" t="s">
        <v>116</v>
      </c>
      <c r="D294" s="43">
        <v>43</v>
      </c>
      <c r="E294" s="43"/>
      <c r="F294" s="36">
        <f>212209/1000000</f>
        <v>0.21220900000000001</v>
      </c>
      <c r="G294" s="36">
        <f t="shared" ref="G294:G302" si="67">F294*0.197</f>
        <v>4.1805173000000001E-2</v>
      </c>
      <c r="H294" s="36">
        <f>64034/1000000</f>
        <v>6.4033999999999994E-2</v>
      </c>
      <c r="I294" s="37">
        <f t="shared" ref="I294:I302" si="68">H294*0.15</f>
        <v>9.6050999999999984E-3</v>
      </c>
      <c r="J294" s="32">
        <f t="shared" si="58"/>
        <v>0.14247564999999998</v>
      </c>
      <c r="K294" s="33">
        <f t="shared" si="61"/>
        <v>2.1371347499999995E-2</v>
      </c>
      <c r="L294" s="33"/>
      <c r="O294" s="2">
        <f t="shared" si="62"/>
        <v>2.6680833333333331E-2</v>
      </c>
      <c r="P294" s="2">
        <f t="shared" si="63"/>
        <v>19.210199999999997</v>
      </c>
      <c r="Q294" s="7">
        <f t="shared" si="64"/>
        <v>87.00271739130433</v>
      </c>
      <c r="R294" s="2">
        <v>1.2</v>
      </c>
      <c r="S294" s="2">
        <f t="shared" si="59"/>
        <v>4.45</v>
      </c>
      <c r="T294" s="2"/>
      <c r="U294" s="2"/>
      <c r="Y294" s="8">
        <f t="shared" si="60"/>
        <v>3.0972967391304342</v>
      </c>
    </row>
    <row r="295" spans="1:25" x14ac:dyDescent="0.25">
      <c r="A295" s="34">
        <f t="shared" si="66"/>
        <v>287</v>
      </c>
      <c r="B295" s="35">
        <f t="shared" si="66"/>
        <v>259</v>
      </c>
      <c r="C295" s="42" t="s">
        <v>116</v>
      </c>
      <c r="D295" s="43">
        <v>44</v>
      </c>
      <c r="E295" s="43">
        <v>1</v>
      </c>
      <c r="F295" s="36">
        <f>254909/1000000</f>
        <v>0.254909</v>
      </c>
      <c r="G295" s="36">
        <f t="shared" si="67"/>
        <v>5.0217073000000001E-2</v>
      </c>
      <c r="H295" s="36">
        <f>170752/1000000</f>
        <v>0.17075199999999999</v>
      </c>
      <c r="I295" s="37">
        <f t="shared" si="68"/>
        <v>2.5612799999999998E-2</v>
      </c>
      <c r="J295" s="32">
        <f t="shared" si="58"/>
        <v>0.31589119999999998</v>
      </c>
      <c r="K295" s="33">
        <f t="shared" si="61"/>
        <v>4.7383679999999997E-2</v>
      </c>
      <c r="L295" s="33"/>
      <c r="O295" s="2">
        <f t="shared" si="62"/>
        <v>7.1146666666666664E-2</v>
      </c>
      <c r="P295" s="2">
        <f t="shared" si="63"/>
        <v>51.2256</v>
      </c>
      <c r="Q295" s="7">
        <f t="shared" si="64"/>
        <v>232</v>
      </c>
      <c r="R295" s="2">
        <v>1.2</v>
      </c>
      <c r="S295" s="2">
        <f t="shared" si="59"/>
        <v>3.7</v>
      </c>
      <c r="T295" s="2"/>
      <c r="U295" s="2"/>
      <c r="Y295" s="8">
        <f t="shared" si="60"/>
        <v>6.8671999999999995</v>
      </c>
    </row>
    <row r="296" spans="1:25" x14ac:dyDescent="0.25">
      <c r="A296" s="34">
        <f t="shared" si="66"/>
        <v>288</v>
      </c>
      <c r="B296" s="35">
        <f t="shared" si="66"/>
        <v>260</v>
      </c>
      <c r="C296" s="42" t="s">
        <v>116</v>
      </c>
      <c r="D296" s="35">
        <v>44</v>
      </c>
      <c r="E296" s="35">
        <v>2</v>
      </c>
      <c r="F296" s="36">
        <f>254909/1000000</f>
        <v>0.254909</v>
      </c>
      <c r="G296" s="36">
        <f t="shared" si="67"/>
        <v>5.0217073000000001E-2</v>
      </c>
      <c r="H296" s="36"/>
      <c r="I296" s="37">
        <f t="shared" si="68"/>
        <v>0</v>
      </c>
      <c r="J296" s="32">
        <f t="shared" si="58"/>
        <v>0</v>
      </c>
      <c r="K296" s="33">
        <f t="shared" si="61"/>
        <v>0</v>
      </c>
      <c r="L296" s="33"/>
      <c r="O296" s="2">
        <f t="shared" si="62"/>
        <v>0</v>
      </c>
      <c r="P296" s="2">
        <f t="shared" si="63"/>
        <v>0</v>
      </c>
      <c r="Q296" s="7">
        <f t="shared" si="64"/>
        <v>0</v>
      </c>
      <c r="R296" s="2">
        <v>1.2</v>
      </c>
      <c r="S296" s="2">
        <f t="shared" si="59"/>
        <v>4.45</v>
      </c>
      <c r="T296" s="2"/>
      <c r="U296" s="2"/>
      <c r="Y296" s="8">
        <f t="shared" si="60"/>
        <v>0</v>
      </c>
    </row>
    <row r="297" spans="1:25" x14ac:dyDescent="0.25">
      <c r="A297" s="34">
        <f t="shared" si="66"/>
        <v>289</v>
      </c>
      <c r="B297" s="35">
        <f t="shared" si="66"/>
        <v>261</v>
      </c>
      <c r="C297" s="42" t="s">
        <v>116</v>
      </c>
      <c r="D297" s="43">
        <v>45</v>
      </c>
      <c r="E297" s="43"/>
      <c r="F297" s="36">
        <f>172200/1000000</f>
        <v>0.17219999999999999</v>
      </c>
      <c r="G297" s="36">
        <f t="shared" si="67"/>
        <v>3.3923399999999999E-2</v>
      </c>
      <c r="H297" s="36">
        <f>74336/1000000</f>
        <v>7.4335999999999999E-2</v>
      </c>
      <c r="I297" s="37">
        <f t="shared" si="68"/>
        <v>1.11504E-2</v>
      </c>
      <c r="J297" s="32">
        <f t="shared" si="58"/>
        <v>0.16539760000000001</v>
      </c>
      <c r="K297" s="33">
        <f t="shared" si="61"/>
        <v>2.4809640000000001E-2</v>
      </c>
      <c r="L297" s="33"/>
      <c r="O297" s="2">
        <f t="shared" si="62"/>
        <v>3.0973333333333335E-2</v>
      </c>
      <c r="P297" s="2">
        <f t="shared" si="63"/>
        <v>22.300800000000002</v>
      </c>
      <c r="Q297" s="7">
        <f t="shared" si="64"/>
        <v>101.00000000000001</v>
      </c>
      <c r="R297" s="2">
        <v>1.2</v>
      </c>
      <c r="S297" s="2">
        <f t="shared" si="59"/>
        <v>4.45</v>
      </c>
      <c r="T297" s="2"/>
      <c r="U297" s="2"/>
      <c r="Y297" s="8">
        <f t="shared" si="60"/>
        <v>3.5956000000000001</v>
      </c>
    </row>
    <row r="298" spans="1:25" x14ac:dyDescent="0.25">
      <c r="A298" s="34">
        <f t="shared" si="66"/>
        <v>290</v>
      </c>
      <c r="B298" s="35">
        <f t="shared" si="66"/>
        <v>262</v>
      </c>
      <c r="C298" s="42" t="s">
        <v>116</v>
      </c>
      <c r="D298" s="43">
        <v>46</v>
      </c>
      <c r="E298" s="43"/>
      <c r="F298" s="36">
        <f>174710/1000000</f>
        <v>0.17471</v>
      </c>
      <c r="G298" s="36">
        <f t="shared" si="67"/>
        <v>3.4417870000000003E-2</v>
      </c>
      <c r="H298" s="36">
        <f>83904/1000000</f>
        <v>8.3904000000000006E-2</v>
      </c>
      <c r="I298" s="37">
        <f t="shared" si="68"/>
        <v>1.2585600000000001E-2</v>
      </c>
      <c r="J298" s="32">
        <f t="shared" si="58"/>
        <v>0.18668640000000003</v>
      </c>
      <c r="K298" s="33">
        <f t="shared" si="61"/>
        <v>2.8002960000000004E-2</v>
      </c>
      <c r="L298" s="33"/>
      <c r="O298" s="2">
        <f t="shared" si="62"/>
        <v>3.4960000000000005E-2</v>
      </c>
      <c r="P298" s="2">
        <f t="shared" si="63"/>
        <v>25.171200000000002</v>
      </c>
      <c r="Q298" s="7">
        <f t="shared" si="64"/>
        <v>114.00000000000001</v>
      </c>
      <c r="R298" s="2">
        <v>1.2</v>
      </c>
      <c r="S298" s="2">
        <f t="shared" si="59"/>
        <v>4.45</v>
      </c>
      <c r="T298" s="2"/>
      <c r="U298" s="2"/>
      <c r="Y298" s="8">
        <f t="shared" si="60"/>
        <v>4.0584000000000007</v>
      </c>
    </row>
    <row r="299" spans="1:25" x14ac:dyDescent="0.25">
      <c r="A299" s="34">
        <f t="shared" si="66"/>
        <v>291</v>
      </c>
      <c r="B299" s="35">
        <f t="shared" si="66"/>
        <v>263</v>
      </c>
      <c r="C299" s="42" t="s">
        <v>116</v>
      </c>
      <c r="D299" s="43">
        <v>47</v>
      </c>
      <c r="E299" s="43"/>
      <c r="F299" s="36">
        <f>213490/1000000</f>
        <v>0.21349000000000001</v>
      </c>
      <c r="G299" s="36">
        <f t="shared" si="67"/>
        <v>4.2057530000000003E-2</v>
      </c>
      <c r="H299" s="36">
        <f>65504/1000000</f>
        <v>6.5504000000000007E-2</v>
      </c>
      <c r="I299" s="37">
        <f t="shared" si="68"/>
        <v>9.8256000000000003E-3</v>
      </c>
      <c r="J299" s="32">
        <f t="shared" si="58"/>
        <v>0.14574640000000003</v>
      </c>
      <c r="K299" s="33">
        <f t="shared" si="61"/>
        <v>2.1861960000000003E-2</v>
      </c>
      <c r="L299" s="33"/>
      <c r="O299" s="2">
        <f t="shared" si="62"/>
        <v>2.7293333333333336E-2</v>
      </c>
      <c r="P299" s="2">
        <f t="shared" si="63"/>
        <v>19.651200000000003</v>
      </c>
      <c r="Q299" s="7">
        <f t="shared" si="64"/>
        <v>89.000000000000014</v>
      </c>
      <c r="R299" s="2">
        <v>1.2</v>
      </c>
      <c r="S299" s="2">
        <f t="shared" si="59"/>
        <v>4.45</v>
      </c>
      <c r="T299" s="2"/>
      <c r="U299" s="2"/>
      <c r="Y299" s="8">
        <f t="shared" si="60"/>
        <v>3.1684000000000005</v>
      </c>
    </row>
    <row r="300" spans="1:25" x14ac:dyDescent="0.25">
      <c r="A300" s="34">
        <f t="shared" si="66"/>
        <v>292</v>
      </c>
      <c r="B300" s="35">
        <f t="shared" si="66"/>
        <v>264</v>
      </c>
      <c r="C300" s="42" t="s">
        <v>116</v>
      </c>
      <c r="D300" s="43">
        <v>48</v>
      </c>
      <c r="E300" s="43"/>
      <c r="F300" s="36">
        <f>124257/1000000</f>
        <v>0.12425700000000001</v>
      </c>
      <c r="G300" s="36">
        <f t="shared" si="67"/>
        <v>2.4478629000000002E-2</v>
      </c>
      <c r="H300" s="36">
        <f>29440/1000000</f>
        <v>2.9440000000000001E-2</v>
      </c>
      <c r="I300" s="37">
        <f t="shared" si="68"/>
        <v>4.4159999999999998E-3</v>
      </c>
      <c r="J300" s="32">
        <f t="shared" si="58"/>
        <v>6.5504000000000007E-2</v>
      </c>
      <c r="K300" s="33">
        <f t="shared" si="61"/>
        <v>9.8256000000000003E-3</v>
      </c>
      <c r="L300" s="33"/>
      <c r="O300" s="2">
        <f t="shared" si="62"/>
        <v>1.2266666666666667E-2</v>
      </c>
      <c r="P300" s="2">
        <f t="shared" si="63"/>
        <v>8.8320000000000007</v>
      </c>
      <c r="Q300" s="7">
        <f t="shared" si="64"/>
        <v>40.000000000000007</v>
      </c>
      <c r="R300" s="2">
        <v>1.2</v>
      </c>
      <c r="S300" s="2">
        <f t="shared" si="59"/>
        <v>4.45</v>
      </c>
      <c r="T300" s="2"/>
      <c r="U300" s="2"/>
      <c r="Y300" s="8">
        <f t="shared" si="60"/>
        <v>1.4240000000000002</v>
      </c>
    </row>
    <row r="301" spans="1:25" x14ac:dyDescent="0.25">
      <c r="A301" s="34">
        <f t="shared" si="66"/>
        <v>293</v>
      </c>
      <c r="B301" s="35">
        <f t="shared" si="66"/>
        <v>265</v>
      </c>
      <c r="C301" s="42" t="s">
        <v>116</v>
      </c>
      <c r="D301" s="43">
        <v>49</v>
      </c>
      <c r="E301" s="43"/>
      <c r="F301" s="36">
        <f>174270/1000000</f>
        <v>0.17427000000000001</v>
      </c>
      <c r="G301" s="36">
        <f t="shared" si="67"/>
        <v>3.4331190000000004E-2</v>
      </c>
      <c r="H301" s="36">
        <f>78752/1000000</f>
        <v>7.8752000000000003E-2</v>
      </c>
      <c r="I301" s="37">
        <f t="shared" si="68"/>
        <v>1.18128E-2</v>
      </c>
      <c r="J301" s="32">
        <f t="shared" si="58"/>
        <v>0.17522320000000002</v>
      </c>
      <c r="K301" s="33">
        <f t="shared" si="61"/>
        <v>2.6283480000000001E-2</v>
      </c>
      <c r="L301" s="33"/>
      <c r="O301" s="2">
        <f t="shared" si="62"/>
        <v>3.2813333333333333E-2</v>
      </c>
      <c r="P301" s="2">
        <f t="shared" si="63"/>
        <v>23.625599999999999</v>
      </c>
      <c r="Q301" s="7">
        <f t="shared" si="64"/>
        <v>107</v>
      </c>
      <c r="R301" s="2">
        <v>1.2</v>
      </c>
      <c r="S301" s="2">
        <f t="shared" si="59"/>
        <v>4.45</v>
      </c>
      <c r="T301" s="2"/>
      <c r="U301" s="2"/>
      <c r="Y301" s="8">
        <f t="shared" si="60"/>
        <v>3.8092000000000006</v>
      </c>
    </row>
    <row r="302" spans="1:25" x14ac:dyDescent="0.25">
      <c r="A302" s="34">
        <f t="shared" si="66"/>
        <v>294</v>
      </c>
      <c r="B302" s="35">
        <f t="shared" si="66"/>
        <v>266</v>
      </c>
      <c r="C302" s="42" t="s">
        <v>116</v>
      </c>
      <c r="D302" s="43" t="s">
        <v>121</v>
      </c>
      <c r="E302" s="43"/>
      <c r="F302" s="36">
        <f>231477/1000000</f>
        <v>0.23147699999999999</v>
      </c>
      <c r="G302" s="36">
        <f t="shared" si="67"/>
        <v>4.5600968999999998E-2</v>
      </c>
      <c r="H302" s="36">
        <f>72864/1000000</f>
        <v>7.2863999999999998E-2</v>
      </c>
      <c r="I302" s="37">
        <f t="shared" si="68"/>
        <v>1.0929599999999999E-2</v>
      </c>
      <c r="J302" s="32">
        <f t="shared" si="58"/>
        <v>0.1621224</v>
      </c>
      <c r="K302" s="33">
        <f t="shared" si="61"/>
        <v>2.4318360000000001E-2</v>
      </c>
      <c r="L302" s="33"/>
      <c r="O302" s="2">
        <f t="shared" si="62"/>
        <v>3.0360000000000002E-2</v>
      </c>
      <c r="P302" s="2">
        <f t="shared" si="63"/>
        <v>21.859200000000001</v>
      </c>
      <c r="Q302" s="7">
        <f t="shared" si="64"/>
        <v>99.000000000000014</v>
      </c>
      <c r="R302" s="2">
        <v>1.2</v>
      </c>
      <c r="S302" s="2">
        <f t="shared" si="59"/>
        <v>4.45</v>
      </c>
      <c r="T302" s="2"/>
      <c r="U302" s="2"/>
      <c r="Y302" s="8">
        <f t="shared" si="60"/>
        <v>3.5244</v>
      </c>
    </row>
    <row r="303" spans="1:25" x14ac:dyDescent="0.25">
      <c r="A303" s="34">
        <f t="shared" si="66"/>
        <v>295</v>
      </c>
      <c r="B303" s="35">
        <f t="shared" si="66"/>
        <v>267</v>
      </c>
      <c r="C303" s="42" t="s">
        <v>116</v>
      </c>
      <c r="D303" s="43" t="s">
        <v>122</v>
      </c>
      <c r="E303" s="43"/>
      <c r="F303" s="36">
        <v>0.2099</v>
      </c>
      <c r="G303" s="36">
        <v>4.1300000000000003E-2</v>
      </c>
      <c r="H303" s="36">
        <v>9.7000000000000003E-2</v>
      </c>
      <c r="I303" s="37">
        <v>1.46E-2</v>
      </c>
      <c r="J303" s="32">
        <f t="shared" si="58"/>
        <v>0.21582500000000002</v>
      </c>
      <c r="K303" s="33">
        <f t="shared" si="61"/>
        <v>3.237375E-2</v>
      </c>
      <c r="L303" s="33"/>
      <c r="O303" s="2">
        <f t="shared" si="62"/>
        <v>4.041666666666667E-2</v>
      </c>
      <c r="P303" s="2">
        <f t="shared" si="63"/>
        <v>29.1</v>
      </c>
      <c r="Q303" s="7">
        <f t="shared" si="64"/>
        <v>131.79347826086956</v>
      </c>
      <c r="R303" s="2">
        <v>1.2</v>
      </c>
      <c r="S303" s="2">
        <f t="shared" si="59"/>
        <v>4.45</v>
      </c>
      <c r="T303" s="2"/>
      <c r="U303" s="2"/>
      <c r="Y303" s="8">
        <f t="shared" si="60"/>
        <v>4.6918478260869563</v>
      </c>
    </row>
    <row r="304" spans="1:25" x14ac:dyDescent="0.25">
      <c r="A304" s="34">
        <f t="shared" si="66"/>
        <v>296</v>
      </c>
      <c r="B304" s="35">
        <f t="shared" si="66"/>
        <v>268</v>
      </c>
      <c r="C304" s="42" t="s">
        <v>116</v>
      </c>
      <c r="D304" s="43" t="s">
        <v>123</v>
      </c>
      <c r="E304" s="43"/>
      <c r="F304" s="36">
        <f>53660/1000000</f>
        <v>5.3659999999999999E-2</v>
      </c>
      <c r="G304" s="36">
        <f>F304*0.197</f>
        <v>1.057102E-2</v>
      </c>
      <c r="H304" s="36">
        <f>13246/1000000</f>
        <v>1.3246000000000001E-2</v>
      </c>
      <c r="I304" s="37">
        <f>H304*0.15</f>
        <v>1.9869000000000002E-3</v>
      </c>
      <c r="J304" s="32">
        <f t="shared" si="58"/>
        <v>2.9472350000000001E-2</v>
      </c>
      <c r="K304" s="33">
        <f t="shared" si="61"/>
        <v>4.4208525E-3</v>
      </c>
      <c r="L304" s="33"/>
      <c r="O304" s="2">
        <f t="shared" si="62"/>
        <v>5.519166666666667E-3</v>
      </c>
      <c r="P304" s="2">
        <f t="shared" si="63"/>
        <v>3.9738000000000007</v>
      </c>
      <c r="Q304" s="7">
        <f t="shared" si="64"/>
        <v>17.997282608695656</v>
      </c>
      <c r="R304" s="2">
        <v>1.2</v>
      </c>
      <c r="S304" s="2">
        <f t="shared" si="59"/>
        <v>4.45</v>
      </c>
      <c r="T304" s="2"/>
      <c r="U304" s="2"/>
      <c r="Y304" s="8">
        <f t="shared" si="60"/>
        <v>0.64070326086956531</v>
      </c>
    </row>
    <row r="305" spans="1:25" x14ac:dyDescent="0.25">
      <c r="A305" s="34">
        <f t="shared" si="66"/>
        <v>297</v>
      </c>
      <c r="B305" s="35">
        <f t="shared" si="66"/>
        <v>269</v>
      </c>
      <c r="C305" s="42" t="s">
        <v>116</v>
      </c>
      <c r="D305" s="43">
        <v>56</v>
      </c>
      <c r="E305" s="43"/>
      <c r="F305" s="36">
        <f>276332/1000000</f>
        <v>0.27633200000000002</v>
      </c>
      <c r="G305" s="36">
        <f>F305*0.197</f>
        <v>5.4437404000000009E-2</v>
      </c>
      <c r="H305" s="36">
        <f>69920/1000000</f>
        <v>6.9919999999999996E-2</v>
      </c>
      <c r="I305" s="37">
        <f>H305*0.15</f>
        <v>1.0487999999999999E-2</v>
      </c>
      <c r="J305" s="32">
        <f t="shared" si="58"/>
        <v>0.15557199999999999</v>
      </c>
      <c r="K305" s="33">
        <f t="shared" si="61"/>
        <v>2.3335799999999997E-2</v>
      </c>
      <c r="L305" s="33"/>
      <c r="O305" s="2">
        <f t="shared" si="62"/>
        <v>2.9133333333333334E-2</v>
      </c>
      <c r="P305" s="2">
        <f t="shared" si="63"/>
        <v>20.976000000000003</v>
      </c>
      <c r="Q305" s="7">
        <f t="shared" si="64"/>
        <v>95.000000000000014</v>
      </c>
      <c r="R305" s="2">
        <v>1.2</v>
      </c>
      <c r="S305" s="2">
        <f t="shared" si="59"/>
        <v>4.45</v>
      </c>
      <c r="T305" s="2"/>
      <c r="U305" s="2"/>
      <c r="Y305" s="8">
        <f t="shared" si="60"/>
        <v>3.3819999999999997</v>
      </c>
    </row>
    <row r="306" spans="1:25" x14ac:dyDescent="0.25">
      <c r="A306" s="34">
        <f t="shared" si="66"/>
        <v>298</v>
      </c>
      <c r="B306" s="35">
        <f t="shared" si="66"/>
        <v>270</v>
      </c>
      <c r="C306" s="42" t="s">
        <v>124</v>
      </c>
      <c r="D306" s="44" t="s">
        <v>125</v>
      </c>
      <c r="E306" s="43">
        <v>1</v>
      </c>
      <c r="F306" s="36">
        <f>220785/1000000</f>
        <v>0.22078500000000001</v>
      </c>
      <c r="G306" s="36">
        <f>F306*0.197</f>
        <v>4.3494645000000005E-2</v>
      </c>
      <c r="H306" s="36">
        <f>40481/1000000</f>
        <v>4.0481000000000003E-2</v>
      </c>
      <c r="I306" s="37">
        <f>H306*0.15</f>
        <v>6.0721500000000001E-3</v>
      </c>
      <c r="J306" s="32">
        <f t="shared" si="58"/>
        <v>9.0070225000000004E-2</v>
      </c>
      <c r="K306" s="33">
        <f t="shared" si="61"/>
        <v>1.351053375E-2</v>
      </c>
      <c r="L306" s="33"/>
      <c r="O306" s="2">
        <f t="shared" si="62"/>
        <v>1.6867083333333335E-2</v>
      </c>
      <c r="P306" s="2">
        <f t="shared" si="63"/>
        <v>12.144299999999999</v>
      </c>
      <c r="Q306" s="7">
        <f t="shared" si="64"/>
        <v>55.001358695652172</v>
      </c>
      <c r="R306" s="2">
        <v>1.2</v>
      </c>
      <c r="S306" s="2">
        <f t="shared" si="59"/>
        <v>4.45</v>
      </c>
      <c r="T306" s="2"/>
      <c r="U306" s="2"/>
      <c r="Y306" s="8">
        <f t="shared" si="60"/>
        <v>1.9580483695652173</v>
      </c>
    </row>
    <row r="307" spans="1:25" x14ac:dyDescent="0.25">
      <c r="A307" s="34">
        <f t="shared" si="66"/>
        <v>299</v>
      </c>
      <c r="B307" s="35">
        <f t="shared" si="66"/>
        <v>271</v>
      </c>
      <c r="C307" s="42" t="s">
        <v>124</v>
      </c>
      <c r="D307" s="44" t="s">
        <v>43</v>
      </c>
      <c r="E307" s="43"/>
      <c r="F307" s="36">
        <f>173261/1000000</f>
        <v>0.173261</v>
      </c>
      <c r="G307" s="36">
        <f t="shared" ref="G307:G317" si="69">F307*0.197</f>
        <v>3.4132416999999998E-2</v>
      </c>
      <c r="H307" s="36">
        <f>75808/1000000</f>
        <v>7.5808E-2</v>
      </c>
      <c r="I307" s="37">
        <f t="shared" ref="I307:I317" si="70">H307*0.15</f>
        <v>1.13712E-2</v>
      </c>
      <c r="J307" s="32">
        <f t="shared" si="58"/>
        <v>0.16867280000000001</v>
      </c>
      <c r="K307" s="33">
        <f t="shared" si="61"/>
        <v>2.5300920000000001E-2</v>
      </c>
      <c r="L307" s="33"/>
      <c r="O307" s="2">
        <f t="shared" si="62"/>
        <v>3.1586666666666666E-2</v>
      </c>
      <c r="P307" s="2">
        <f t="shared" si="63"/>
        <v>22.7424</v>
      </c>
      <c r="Q307" s="7">
        <f t="shared" si="64"/>
        <v>103</v>
      </c>
      <c r="R307" s="2">
        <v>1.2</v>
      </c>
      <c r="S307" s="2">
        <f t="shared" si="59"/>
        <v>4.45</v>
      </c>
      <c r="T307" s="2"/>
      <c r="U307" s="2"/>
      <c r="Y307" s="8">
        <f t="shared" si="60"/>
        <v>3.6668000000000003</v>
      </c>
    </row>
    <row r="308" spans="1:25" x14ac:dyDescent="0.25">
      <c r="A308" s="34">
        <f t="shared" ref="A308:B323" si="71">A307+1</f>
        <v>300</v>
      </c>
      <c r="B308" s="35">
        <f t="shared" si="71"/>
        <v>272</v>
      </c>
      <c r="C308" s="42" t="s">
        <v>124</v>
      </c>
      <c r="D308" s="44" t="s">
        <v>82</v>
      </c>
      <c r="E308" s="43"/>
      <c r="F308" s="36">
        <f>180040/1000000</f>
        <v>0.18004000000000001</v>
      </c>
      <c r="G308" s="36">
        <f t="shared" si="69"/>
        <v>3.546788E-2</v>
      </c>
      <c r="H308" s="36">
        <f>84640/1000000</f>
        <v>8.4640000000000007E-2</v>
      </c>
      <c r="I308" s="37">
        <f t="shared" si="70"/>
        <v>1.2696000000000001E-2</v>
      </c>
      <c r="J308" s="32">
        <f t="shared" si="58"/>
        <v>0.18832400000000002</v>
      </c>
      <c r="K308" s="33">
        <f t="shared" si="61"/>
        <v>2.8248600000000002E-2</v>
      </c>
      <c r="L308" s="33"/>
      <c r="O308" s="2">
        <f t="shared" si="62"/>
        <v>3.5266666666666668E-2</v>
      </c>
      <c r="P308" s="2">
        <f t="shared" si="63"/>
        <v>25.392000000000003</v>
      </c>
      <c r="Q308" s="7">
        <f t="shared" si="64"/>
        <v>115.00000000000001</v>
      </c>
      <c r="R308" s="2">
        <v>1.2</v>
      </c>
      <c r="S308" s="2">
        <f t="shared" si="59"/>
        <v>4.45</v>
      </c>
      <c r="T308" s="2"/>
      <c r="U308" s="2"/>
      <c r="Y308" s="8">
        <f t="shared" si="60"/>
        <v>4.0940000000000003</v>
      </c>
    </row>
    <row r="309" spans="1:25" x14ac:dyDescent="0.25">
      <c r="A309" s="34">
        <f t="shared" si="71"/>
        <v>301</v>
      </c>
      <c r="B309" s="35">
        <f t="shared" si="71"/>
        <v>273</v>
      </c>
      <c r="C309" s="42" t="s">
        <v>124</v>
      </c>
      <c r="D309" s="44" t="s">
        <v>47</v>
      </c>
      <c r="E309" s="43"/>
      <c r="F309" s="36">
        <f>175299/1000000</f>
        <v>0.17529900000000001</v>
      </c>
      <c r="G309" s="36">
        <f t="shared" si="69"/>
        <v>3.4533903000000005E-2</v>
      </c>
      <c r="H309" s="36">
        <f>88320/1000000</f>
        <v>8.8319999999999996E-2</v>
      </c>
      <c r="I309" s="37">
        <f t="shared" si="70"/>
        <v>1.3247999999999999E-2</v>
      </c>
      <c r="J309" s="32">
        <f t="shared" si="58"/>
        <v>0.19651199999999999</v>
      </c>
      <c r="K309" s="33">
        <f t="shared" si="61"/>
        <v>2.9476799999999997E-2</v>
      </c>
      <c r="L309" s="33"/>
      <c r="O309" s="2">
        <f t="shared" si="62"/>
        <v>3.6799999999999999E-2</v>
      </c>
      <c r="P309" s="2">
        <f t="shared" si="63"/>
        <v>26.495999999999999</v>
      </c>
      <c r="Q309" s="7">
        <f t="shared" si="64"/>
        <v>120</v>
      </c>
      <c r="R309" s="2">
        <v>1.2</v>
      </c>
      <c r="S309" s="2">
        <f t="shared" si="59"/>
        <v>4.45</v>
      </c>
      <c r="T309" s="2"/>
      <c r="U309" s="2"/>
      <c r="Y309" s="8">
        <f t="shared" si="60"/>
        <v>4.2719999999999994</v>
      </c>
    </row>
    <row r="310" spans="1:25" x14ac:dyDescent="0.25">
      <c r="A310" s="34">
        <f t="shared" si="71"/>
        <v>302</v>
      </c>
      <c r="B310" s="35">
        <f t="shared" si="71"/>
        <v>274</v>
      </c>
      <c r="C310" s="42" t="s">
        <v>124</v>
      </c>
      <c r="D310" s="44" t="s">
        <v>48</v>
      </c>
      <c r="E310" s="43"/>
      <c r="F310" s="36">
        <f>181145/1000000</f>
        <v>0.181145</v>
      </c>
      <c r="G310" s="36">
        <f t="shared" si="69"/>
        <v>3.5685565000000002E-2</v>
      </c>
      <c r="H310" s="36">
        <f>82432/1000000</f>
        <v>8.2432000000000005E-2</v>
      </c>
      <c r="I310" s="37">
        <f t="shared" si="70"/>
        <v>1.23648E-2</v>
      </c>
      <c r="J310" s="32">
        <f t="shared" si="58"/>
        <v>0.18341120000000002</v>
      </c>
      <c r="K310" s="33">
        <f t="shared" si="61"/>
        <v>2.7511680000000004E-2</v>
      </c>
      <c r="L310" s="33"/>
      <c r="O310" s="2">
        <f t="shared" si="62"/>
        <v>3.4346666666666671E-2</v>
      </c>
      <c r="P310" s="2">
        <f t="shared" si="63"/>
        <v>24.729600000000005</v>
      </c>
      <c r="Q310" s="7">
        <f t="shared" si="64"/>
        <v>112.00000000000003</v>
      </c>
      <c r="R310" s="2">
        <v>1.2</v>
      </c>
      <c r="S310" s="2">
        <f t="shared" si="59"/>
        <v>4.45</v>
      </c>
      <c r="T310" s="2"/>
      <c r="U310" s="2"/>
      <c r="Y310" s="8">
        <f t="shared" si="60"/>
        <v>3.9872000000000005</v>
      </c>
    </row>
    <row r="311" spans="1:25" x14ac:dyDescent="0.25">
      <c r="A311" s="34">
        <f t="shared" si="71"/>
        <v>303</v>
      </c>
      <c r="B311" s="35">
        <f t="shared" si="71"/>
        <v>275</v>
      </c>
      <c r="C311" s="42" t="s">
        <v>124</v>
      </c>
      <c r="D311" s="43">
        <v>7</v>
      </c>
      <c r="E311" s="43"/>
      <c r="F311" s="36">
        <f>179310/1000000</f>
        <v>0.17931</v>
      </c>
      <c r="G311" s="36">
        <f t="shared" si="69"/>
        <v>3.5324069999999999E-2</v>
      </c>
      <c r="H311" s="36">
        <f>86114/1000000</f>
        <v>8.6113999999999996E-2</v>
      </c>
      <c r="I311" s="37">
        <f t="shared" si="70"/>
        <v>1.2917099999999999E-2</v>
      </c>
      <c r="J311" s="32">
        <f t="shared" si="58"/>
        <v>0.19160364999999999</v>
      </c>
      <c r="K311" s="33">
        <f t="shared" si="61"/>
        <v>2.8740547499999998E-2</v>
      </c>
      <c r="L311" s="33"/>
      <c r="O311" s="2">
        <f t="shared" si="62"/>
        <v>3.5880833333333334E-2</v>
      </c>
      <c r="P311" s="2">
        <f t="shared" si="63"/>
        <v>25.834199999999999</v>
      </c>
      <c r="Q311" s="7">
        <f t="shared" si="64"/>
        <v>117.00271739130434</v>
      </c>
      <c r="R311" s="2">
        <v>1.2</v>
      </c>
      <c r="S311" s="2">
        <f t="shared" si="59"/>
        <v>4.45</v>
      </c>
      <c r="T311" s="2"/>
      <c r="U311" s="2"/>
      <c r="Y311" s="8">
        <f t="shared" si="60"/>
        <v>4.1652967391304347</v>
      </c>
    </row>
    <row r="312" spans="1:25" x14ac:dyDescent="0.25">
      <c r="A312" s="34">
        <f t="shared" si="71"/>
        <v>304</v>
      </c>
      <c r="B312" s="35">
        <f t="shared" si="71"/>
        <v>276</v>
      </c>
      <c r="C312" s="42" t="s">
        <v>124</v>
      </c>
      <c r="D312" s="43">
        <v>8</v>
      </c>
      <c r="E312" s="43"/>
      <c r="F312" s="36">
        <f>175063/1000000</f>
        <v>0.175063</v>
      </c>
      <c r="G312" s="36">
        <f t="shared" si="69"/>
        <v>3.4487411000000003E-2</v>
      </c>
      <c r="H312" s="36">
        <f>80224/1000000</f>
        <v>8.0224000000000004E-2</v>
      </c>
      <c r="I312" s="37">
        <f t="shared" si="70"/>
        <v>1.20336E-2</v>
      </c>
      <c r="J312" s="32">
        <f t="shared" si="58"/>
        <v>0.1784984</v>
      </c>
      <c r="K312" s="33">
        <f t="shared" si="61"/>
        <v>2.6774759999999998E-2</v>
      </c>
      <c r="L312" s="33"/>
      <c r="O312" s="2">
        <f t="shared" si="62"/>
        <v>3.3426666666666667E-2</v>
      </c>
      <c r="P312" s="2">
        <f t="shared" si="63"/>
        <v>24.067200000000003</v>
      </c>
      <c r="Q312" s="7">
        <f t="shared" si="64"/>
        <v>109.00000000000001</v>
      </c>
      <c r="R312" s="2">
        <v>1.2</v>
      </c>
      <c r="S312" s="2">
        <f t="shared" si="59"/>
        <v>4.45</v>
      </c>
      <c r="T312" s="2"/>
      <c r="U312" s="2"/>
      <c r="Y312" s="8">
        <f t="shared" si="60"/>
        <v>3.8803999999999998</v>
      </c>
    </row>
    <row r="313" spans="1:25" x14ac:dyDescent="0.25">
      <c r="A313" s="34">
        <f t="shared" si="71"/>
        <v>305</v>
      </c>
      <c r="B313" s="35">
        <f t="shared" si="71"/>
        <v>277</v>
      </c>
      <c r="C313" s="42" t="s">
        <v>124</v>
      </c>
      <c r="D313" s="43">
        <v>9</v>
      </c>
      <c r="E313" s="43"/>
      <c r="F313" s="36">
        <f>180040/1000000</f>
        <v>0.18004000000000001</v>
      </c>
      <c r="G313" s="36">
        <f t="shared" si="69"/>
        <v>3.546788E-2</v>
      </c>
      <c r="H313" s="36">
        <f>77280/1000000</f>
        <v>7.7280000000000001E-2</v>
      </c>
      <c r="I313" s="37">
        <f t="shared" si="70"/>
        <v>1.1592E-2</v>
      </c>
      <c r="J313" s="32">
        <f t="shared" si="58"/>
        <v>0.17194800000000002</v>
      </c>
      <c r="K313" s="33">
        <f t="shared" si="61"/>
        <v>2.5792200000000001E-2</v>
      </c>
      <c r="L313" s="33"/>
      <c r="O313" s="2">
        <f t="shared" si="62"/>
        <v>3.2199999999999999E-2</v>
      </c>
      <c r="P313" s="2">
        <f t="shared" si="63"/>
        <v>23.183999999999997</v>
      </c>
      <c r="Q313" s="7">
        <f t="shared" si="64"/>
        <v>104.99999999999999</v>
      </c>
      <c r="R313" s="2">
        <v>1.2</v>
      </c>
      <c r="S313" s="2">
        <f t="shared" si="59"/>
        <v>4.45</v>
      </c>
      <c r="T313" s="2"/>
      <c r="U313" s="2"/>
      <c r="Y313" s="8">
        <f t="shared" si="60"/>
        <v>3.7380000000000004</v>
      </c>
    </row>
    <row r="314" spans="1:25" x14ac:dyDescent="0.25">
      <c r="A314" s="34">
        <f t="shared" si="71"/>
        <v>306</v>
      </c>
      <c r="B314" s="35">
        <f t="shared" si="71"/>
        <v>278</v>
      </c>
      <c r="C314" s="42" t="s">
        <v>124</v>
      </c>
      <c r="D314" s="43">
        <v>10</v>
      </c>
      <c r="E314" s="43"/>
      <c r="F314" s="36">
        <f>180040/1000000</f>
        <v>0.18004000000000001</v>
      </c>
      <c r="G314" s="36">
        <f t="shared" si="69"/>
        <v>3.546788E-2</v>
      </c>
      <c r="H314" s="36">
        <f>87584/1000000</f>
        <v>8.7583999999999995E-2</v>
      </c>
      <c r="I314" s="37">
        <f t="shared" si="70"/>
        <v>1.3137599999999999E-2</v>
      </c>
      <c r="J314" s="32">
        <f t="shared" si="58"/>
        <v>0.19487440000000003</v>
      </c>
      <c r="K314" s="33">
        <f t="shared" si="61"/>
        <v>2.9231160000000003E-2</v>
      </c>
      <c r="L314" s="33"/>
      <c r="O314" s="2">
        <f t="shared" si="62"/>
        <v>3.6493333333333336E-2</v>
      </c>
      <c r="P314" s="2">
        <f t="shared" si="63"/>
        <v>26.275200000000002</v>
      </c>
      <c r="Q314" s="7">
        <f t="shared" si="64"/>
        <v>119.00000000000001</v>
      </c>
      <c r="R314" s="2">
        <v>1.2</v>
      </c>
      <c r="S314" s="2">
        <f t="shared" si="59"/>
        <v>4.45</v>
      </c>
      <c r="T314" s="2"/>
      <c r="U314" s="2"/>
      <c r="Y314" s="8">
        <f t="shared" si="60"/>
        <v>4.2364000000000006</v>
      </c>
    </row>
    <row r="315" spans="1:25" x14ac:dyDescent="0.25">
      <c r="A315" s="34">
        <f t="shared" si="71"/>
        <v>307</v>
      </c>
      <c r="B315" s="35">
        <f t="shared" si="71"/>
        <v>279</v>
      </c>
      <c r="C315" s="42" t="s">
        <v>124</v>
      </c>
      <c r="D315" s="43">
        <v>11</v>
      </c>
      <c r="E315" s="43">
        <v>1</v>
      </c>
      <c r="F315" s="36">
        <f>161137/1000000</f>
        <v>0.161137</v>
      </c>
      <c r="G315" s="36">
        <f t="shared" si="69"/>
        <v>3.1743989E-2</v>
      </c>
      <c r="H315" s="36">
        <f>64769/1000000</f>
        <v>6.4768999999999993E-2</v>
      </c>
      <c r="I315" s="37">
        <f t="shared" si="70"/>
        <v>9.7153499999999993E-3</v>
      </c>
      <c r="J315" s="32">
        <f t="shared" si="58"/>
        <v>0.144111025</v>
      </c>
      <c r="K315" s="33">
        <f t="shared" si="61"/>
        <v>2.1616653749999999E-2</v>
      </c>
      <c r="L315" s="33"/>
      <c r="O315" s="2">
        <f t="shared" si="62"/>
        <v>2.6987083333333332E-2</v>
      </c>
      <c r="P315" s="2">
        <f t="shared" si="63"/>
        <v>19.430699999999998</v>
      </c>
      <c r="Q315" s="7">
        <f t="shared" si="64"/>
        <v>88.001358695652172</v>
      </c>
      <c r="R315" s="2">
        <v>1.2</v>
      </c>
      <c r="S315" s="2">
        <f t="shared" si="59"/>
        <v>4.45</v>
      </c>
      <c r="T315" s="2"/>
      <c r="U315" s="2"/>
      <c r="Y315" s="8">
        <f t="shared" si="60"/>
        <v>3.1328483695652176</v>
      </c>
    </row>
    <row r="316" spans="1:25" x14ac:dyDescent="0.25">
      <c r="A316" s="34">
        <f t="shared" si="71"/>
        <v>308</v>
      </c>
      <c r="B316" s="35">
        <f t="shared" si="71"/>
        <v>280</v>
      </c>
      <c r="C316" s="42" t="s">
        <v>124</v>
      </c>
      <c r="D316" s="35">
        <v>11</v>
      </c>
      <c r="E316" s="35">
        <v>2</v>
      </c>
      <c r="F316" s="36">
        <f>161137/1000000</f>
        <v>0.161137</v>
      </c>
      <c r="G316" s="36">
        <f t="shared" si="69"/>
        <v>3.1743989E-2</v>
      </c>
      <c r="H316" s="36">
        <f>64769/1000000</f>
        <v>6.4768999999999993E-2</v>
      </c>
      <c r="I316" s="37">
        <f t="shared" si="70"/>
        <v>9.7153499999999993E-3</v>
      </c>
      <c r="J316" s="32">
        <f t="shared" si="58"/>
        <v>0.144111025</v>
      </c>
      <c r="K316" s="33">
        <f t="shared" si="61"/>
        <v>2.1616653749999999E-2</v>
      </c>
      <c r="L316" s="33"/>
      <c r="O316" s="2">
        <f t="shared" si="62"/>
        <v>2.6987083333333332E-2</v>
      </c>
      <c r="P316" s="2">
        <f t="shared" si="63"/>
        <v>19.430699999999998</v>
      </c>
      <c r="Q316" s="7">
        <f t="shared" si="64"/>
        <v>88.001358695652172</v>
      </c>
      <c r="R316" s="2">
        <v>1.2</v>
      </c>
      <c r="S316" s="2">
        <f t="shared" si="59"/>
        <v>4.45</v>
      </c>
      <c r="T316" s="2"/>
      <c r="U316" s="2"/>
      <c r="Y316" s="8">
        <f t="shared" si="60"/>
        <v>3.1328483695652176</v>
      </c>
    </row>
    <row r="317" spans="1:25" x14ac:dyDescent="0.25">
      <c r="A317" s="34">
        <f t="shared" si="71"/>
        <v>309</v>
      </c>
      <c r="B317" s="35">
        <f t="shared" si="71"/>
        <v>281</v>
      </c>
      <c r="C317" s="42" t="s">
        <v>124</v>
      </c>
      <c r="D317" s="43">
        <v>12</v>
      </c>
      <c r="E317" s="43">
        <v>1</v>
      </c>
      <c r="F317" s="36">
        <f>328753/1000000</f>
        <v>0.32875300000000002</v>
      </c>
      <c r="G317" s="36">
        <f t="shared" si="69"/>
        <v>6.4764341000000003E-2</v>
      </c>
      <c r="H317" s="36">
        <f>68448/1000000</f>
        <v>6.8447999999999995E-2</v>
      </c>
      <c r="I317" s="37">
        <f t="shared" si="70"/>
        <v>1.0267199999999999E-2</v>
      </c>
      <c r="J317" s="32">
        <f t="shared" si="58"/>
        <v>0.15229679999999998</v>
      </c>
      <c r="K317" s="33">
        <f t="shared" si="61"/>
        <v>2.2844519999999997E-2</v>
      </c>
      <c r="L317" s="33"/>
      <c r="O317" s="2">
        <f t="shared" si="62"/>
        <v>2.852E-2</v>
      </c>
      <c r="P317" s="2">
        <f t="shared" si="63"/>
        <v>20.534399999999998</v>
      </c>
      <c r="Q317" s="7">
        <f t="shared" si="64"/>
        <v>92.999999999999986</v>
      </c>
      <c r="R317" s="2">
        <v>1.2</v>
      </c>
      <c r="S317" s="2">
        <f t="shared" si="59"/>
        <v>4.45</v>
      </c>
      <c r="T317" s="2"/>
      <c r="U317" s="2"/>
      <c r="Y317" s="8">
        <f t="shared" si="60"/>
        <v>3.3107999999999995</v>
      </c>
    </row>
    <row r="318" spans="1:25" x14ac:dyDescent="0.25">
      <c r="A318" s="34">
        <f t="shared" si="71"/>
        <v>310</v>
      </c>
      <c r="B318" s="35">
        <f t="shared" si="71"/>
        <v>282</v>
      </c>
      <c r="C318" s="42" t="s">
        <v>124</v>
      </c>
      <c r="D318" s="43">
        <v>12</v>
      </c>
      <c r="E318" s="43">
        <v>2</v>
      </c>
      <c r="F318" s="36">
        <v>0.38700000000000001</v>
      </c>
      <c r="G318" s="36">
        <v>7.6200000000000004E-2</v>
      </c>
      <c r="H318" s="36">
        <v>7.0999999999999994E-2</v>
      </c>
      <c r="I318" s="37">
        <v>1.0699999999999999E-2</v>
      </c>
      <c r="J318" s="32">
        <f t="shared" si="58"/>
        <v>0.157975</v>
      </c>
      <c r="K318" s="33">
        <f t="shared" si="61"/>
        <v>2.3696249999999999E-2</v>
      </c>
      <c r="L318" s="33"/>
      <c r="O318" s="2">
        <f t="shared" si="62"/>
        <v>2.9583333333333333E-2</v>
      </c>
      <c r="P318" s="2">
        <f t="shared" si="63"/>
        <v>21.299999999999997</v>
      </c>
      <c r="Q318" s="7">
        <f t="shared" si="64"/>
        <v>96.467391304347814</v>
      </c>
      <c r="R318" s="2">
        <v>1.2</v>
      </c>
      <c r="S318" s="2">
        <f t="shared" si="59"/>
        <v>4.45</v>
      </c>
      <c r="T318" s="2"/>
      <c r="U318" s="2"/>
      <c r="Y318" s="8">
        <f t="shared" si="60"/>
        <v>3.4342391304347828</v>
      </c>
    </row>
    <row r="319" spans="1:25" x14ac:dyDescent="0.25">
      <c r="A319" s="34">
        <f t="shared" si="71"/>
        <v>311</v>
      </c>
      <c r="B319" s="35">
        <f t="shared" si="71"/>
        <v>283</v>
      </c>
      <c r="C319" s="42" t="s">
        <v>124</v>
      </c>
      <c r="D319" s="43">
        <v>14</v>
      </c>
      <c r="E319" s="43">
        <v>1</v>
      </c>
      <c r="F319" s="36">
        <f>125874/1000000</f>
        <v>0.12587400000000001</v>
      </c>
      <c r="G319" s="36">
        <f t="shared" ref="G319:G368" si="72">F319*0.197</f>
        <v>2.4797178000000003E-2</v>
      </c>
      <c r="H319" s="36">
        <f>61457/1000000</f>
        <v>6.1456999999999998E-2</v>
      </c>
      <c r="I319" s="37">
        <f t="shared" ref="I319:I368" si="73">H319*0.15</f>
        <v>9.218549999999999E-3</v>
      </c>
      <c r="J319" s="32">
        <f t="shared" si="58"/>
        <v>0.13674182500000001</v>
      </c>
      <c r="K319" s="33">
        <f t="shared" si="61"/>
        <v>2.051127375E-2</v>
      </c>
      <c r="L319" s="33"/>
      <c r="O319" s="2">
        <f t="shared" si="62"/>
        <v>2.5607083333333332E-2</v>
      </c>
      <c r="P319" s="2">
        <f t="shared" si="63"/>
        <v>18.437099999999997</v>
      </c>
      <c r="Q319" s="7">
        <f t="shared" si="64"/>
        <v>83.501358695652158</v>
      </c>
      <c r="R319" s="2">
        <v>1.2</v>
      </c>
      <c r="S319" s="2">
        <f t="shared" si="59"/>
        <v>4.45</v>
      </c>
      <c r="T319" s="2"/>
      <c r="U319" s="2"/>
      <c r="Y319" s="8">
        <f t="shared" si="60"/>
        <v>2.9726483695652175</v>
      </c>
    </row>
    <row r="320" spans="1:25" x14ac:dyDescent="0.25">
      <c r="A320" s="34">
        <f t="shared" si="71"/>
        <v>312</v>
      </c>
      <c r="B320" s="35">
        <f t="shared" si="71"/>
        <v>284</v>
      </c>
      <c r="C320" s="42" t="s">
        <v>124</v>
      </c>
      <c r="D320" s="35">
        <v>14</v>
      </c>
      <c r="E320" s="35">
        <v>2</v>
      </c>
      <c r="F320" s="36">
        <f>125874/1000000</f>
        <v>0.12587400000000001</v>
      </c>
      <c r="G320" s="36">
        <f t="shared" si="72"/>
        <v>2.4797178000000003E-2</v>
      </c>
      <c r="H320" s="36">
        <f>61457/1000000</f>
        <v>6.1456999999999998E-2</v>
      </c>
      <c r="I320" s="37">
        <f t="shared" si="73"/>
        <v>9.218549999999999E-3</v>
      </c>
      <c r="J320" s="32">
        <f t="shared" si="58"/>
        <v>0.13674182500000001</v>
      </c>
      <c r="K320" s="33">
        <f t="shared" si="61"/>
        <v>2.051127375E-2</v>
      </c>
      <c r="L320" s="33"/>
      <c r="O320" s="2">
        <f t="shared" si="62"/>
        <v>2.5607083333333332E-2</v>
      </c>
      <c r="P320" s="2">
        <f t="shared" si="63"/>
        <v>18.437099999999997</v>
      </c>
      <c r="Q320" s="7">
        <f t="shared" si="64"/>
        <v>83.501358695652158</v>
      </c>
      <c r="R320" s="2">
        <v>1.2</v>
      </c>
      <c r="S320" s="2">
        <f t="shared" si="59"/>
        <v>4.45</v>
      </c>
      <c r="T320" s="2"/>
      <c r="U320" s="2"/>
      <c r="Y320" s="8">
        <f t="shared" si="60"/>
        <v>2.9726483695652175</v>
      </c>
    </row>
    <row r="321" spans="1:25" x14ac:dyDescent="0.25">
      <c r="A321" s="34">
        <f t="shared" si="71"/>
        <v>313</v>
      </c>
      <c r="B321" s="35">
        <f t="shared" si="71"/>
        <v>285</v>
      </c>
      <c r="C321" s="42" t="s">
        <v>124</v>
      </c>
      <c r="D321" s="43">
        <v>15</v>
      </c>
      <c r="E321" s="43">
        <v>1</v>
      </c>
      <c r="F321" s="36">
        <f>144538/1000000</f>
        <v>0.144538</v>
      </c>
      <c r="G321" s="36">
        <f t="shared" si="72"/>
        <v>2.8473986E-2</v>
      </c>
      <c r="H321" s="36">
        <f>54097/1000000</f>
        <v>5.4096999999999999E-2</v>
      </c>
      <c r="I321" s="37">
        <f t="shared" si="73"/>
        <v>8.1145499999999999E-3</v>
      </c>
      <c r="J321" s="32">
        <f t="shared" si="58"/>
        <v>0.12036582500000001</v>
      </c>
      <c r="K321" s="33">
        <f t="shared" si="61"/>
        <v>1.8054873750000002E-2</v>
      </c>
      <c r="L321" s="33"/>
      <c r="O321" s="2">
        <f t="shared" si="62"/>
        <v>2.2540416666666667E-2</v>
      </c>
      <c r="P321" s="2">
        <f t="shared" si="63"/>
        <v>16.229099999999999</v>
      </c>
      <c r="Q321" s="7">
        <f t="shared" si="64"/>
        <v>73.501358695652172</v>
      </c>
      <c r="R321" s="2">
        <v>1.2</v>
      </c>
      <c r="S321" s="2">
        <f t="shared" si="59"/>
        <v>4.45</v>
      </c>
      <c r="T321" s="2"/>
      <c r="U321" s="2"/>
      <c r="Y321" s="8">
        <f t="shared" si="60"/>
        <v>2.6166483695652176</v>
      </c>
    </row>
    <row r="322" spans="1:25" x14ac:dyDescent="0.25">
      <c r="A322" s="34">
        <f t="shared" si="71"/>
        <v>314</v>
      </c>
      <c r="B322" s="35">
        <f t="shared" si="71"/>
        <v>286</v>
      </c>
      <c r="C322" s="42" t="s">
        <v>124</v>
      </c>
      <c r="D322" s="35">
        <v>15</v>
      </c>
      <c r="E322" s="35">
        <v>2</v>
      </c>
      <c r="F322" s="36">
        <f>144538/1000000</f>
        <v>0.144538</v>
      </c>
      <c r="G322" s="36">
        <f t="shared" si="72"/>
        <v>2.8473986E-2</v>
      </c>
      <c r="H322" s="36">
        <f>54097/1000000</f>
        <v>5.4096999999999999E-2</v>
      </c>
      <c r="I322" s="37">
        <f t="shared" si="73"/>
        <v>8.1145499999999999E-3</v>
      </c>
      <c r="J322" s="32">
        <f t="shared" si="58"/>
        <v>0.12036582500000001</v>
      </c>
      <c r="K322" s="33">
        <f t="shared" si="61"/>
        <v>1.8054873750000002E-2</v>
      </c>
      <c r="L322" s="33"/>
      <c r="O322" s="2">
        <f t="shared" si="62"/>
        <v>2.2540416666666667E-2</v>
      </c>
      <c r="P322" s="2">
        <f t="shared" si="63"/>
        <v>16.229099999999999</v>
      </c>
      <c r="Q322" s="7">
        <f t="shared" si="64"/>
        <v>73.501358695652172</v>
      </c>
      <c r="R322" s="2">
        <v>1.2</v>
      </c>
      <c r="S322" s="2">
        <f t="shared" si="59"/>
        <v>4.45</v>
      </c>
      <c r="T322" s="2"/>
      <c r="U322" s="2"/>
      <c r="Y322" s="8">
        <f t="shared" si="60"/>
        <v>2.6166483695652176</v>
      </c>
    </row>
    <row r="323" spans="1:25" x14ac:dyDescent="0.25">
      <c r="A323" s="34">
        <f t="shared" si="71"/>
        <v>315</v>
      </c>
      <c r="B323" s="35">
        <f t="shared" si="71"/>
        <v>287</v>
      </c>
      <c r="C323" s="42" t="s">
        <v>124</v>
      </c>
      <c r="D323" s="43">
        <v>16</v>
      </c>
      <c r="E323" s="43">
        <v>1</v>
      </c>
      <c r="F323" s="36">
        <f>144538/1000000</f>
        <v>0.144538</v>
      </c>
      <c r="G323" s="36">
        <f t="shared" si="72"/>
        <v>2.8473986E-2</v>
      </c>
      <c r="H323" s="36">
        <f>51152/1000000</f>
        <v>5.1152000000000003E-2</v>
      </c>
      <c r="I323" s="37">
        <f t="shared" si="73"/>
        <v>7.6728000000000005E-3</v>
      </c>
      <c r="J323" s="32">
        <f t="shared" si="58"/>
        <v>0.11381320000000003</v>
      </c>
      <c r="K323" s="33">
        <f t="shared" si="61"/>
        <v>1.7071980000000004E-2</v>
      </c>
      <c r="L323" s="33"/>
      <c r="O323" s="2">
        <f t="shared" si="62"/>
        <v>2.1313333333333337E-2</v>
      </c>
      <c r="P323" s="2">
        <f t="shared" si="63"/>
        <v>15.345600000000003</v>
      </c>
      <c r="Q323" s="7">
        <f t="shared" si="64"/>
        <v>69.500000000000014</v>
      </c>
      <c r="R323" s="2">
        <v>1.2</v>
      </c>
      <c r="S323" s="2">
        <f t="shared" si="59"/>
        <v>4.45</v>
      </c>
      <c r="T323" s="2"/>
      <c r="U323" s="2"/>
      <c r="Y323" s="8">
        <f t="shared" si="60"/>
        <v>2.4742000000000006</v>
      </c>
    </row>
    <row r="324" spans="1:25" x14ac:dyDescent="0.25">
      <c r="A324" s="34">
        <f t="shared" ref="A324:B339" si="74">A323+1</f>
        <v>316</v>
      </c>
      <c r="B324" s="35">
        <f t="shared" si="74"/>
        <v>288</v>
      </c>
      <c r="C324" s="42" t="s">
        <v>124</v>
      </c>
      <c r="D324" s="35">
        <v>16</v>
      </c>
      <c r="E324" s="35">
        <v>2</v>
      </c>
      <c r="F324" s="36">
        <f>144538/1000000</f>
        <v>0.144538</v>
      </c>
      <c r="G324" s="36">
        <f t="shared" si="72"/>
        <v>2.8473986E-2</v>
      </c>
      <c r="H324" s="36">
        <f>51152/1000000</f>
        <v>5.1152000000000003E-2</v>
      </c>
      <c r="I324" s="37">
        <f t="shared" si="73"/>
        <v>7.6728000000000005E-3</v>
      </c>
      <c r="J324" s="32">
        <f t="shared" si="58"/>
        <v>0.11381320000000003</v>
      </c>
      <c r="K324" s="33">
        <f t="shared" si="61"/>
        <v>1.7071980000000004E-2</v>
      </c>
      <c r="L324" s="33"/>
      <c r="O324" s="2">
        <f t="shared" si="62"/>
        <v>2.1313333333333337E-2</v>
      </c>
      <c r="P324" s="2">
        <f t="shared" si="63"/>
        <v>15.345600000000003</v>
      </c>
      <c r="Q324" s="7">
        <f t="shared" si="64"/>
        <v>69.500000000000014</v>
      </c>
      <c r="R324" s="2">
        <v>1.2</v>
      </c>
      <c r="S324" s="2">
        <f t="shared" si="59"/>
        <v>4.45</v>
      </c>
      <c r="T324" s="2"/>
      <c r="U324" s="2"/>
      <c r="Y324" s="8">
        <f t="shared" si="60"/>
        <v>2.4742000000000006</v>
      </c>
    </row>
    <row r="325" spans="1:25" x14ac:dyDescent="0.25">
      <c r="A325" s="34">
        <f t="shared" si="74"/>
        <v>317</v>
      </c>
      <c r="B325" s="35">
        <f t="shared" si="74"/>
        <v>289</v>
      </c>
      <c r="C325" s="42" t="s">
        <v>124</v>
      </c>
      <c r="D325" s="43">
        <v>17</v>
      </c>
      <c r="E325" s="43">
        <v>1</v>
      </c>
      <c r="F325" s="36">
        <f>137436/1000000</f>
        <v>0.137436</v>
      </c>
      <c r="G325" s="36">
        <f t="shared" si="72"/>
        <v>2.7074892000000003E-2</v>
      </c>
      <c r="H325" s="36">
        <f>51520/1000000</f>
        <v>5.1520000000000003E-2</v>
      </c>
      <c r="I325" s="37">
        <f t="shared" si="73"/>
        <v>7.7280000000000005E-3</v>
      </c>
      <c r="J325" s="32">
        <f t="shared" si="58"/>
        <v>0.11463200000000001</v>
      </c>
      <c r="K325" s="33">
        <f t="shared" si="61"/>
        <v>1.71948E-2</v>
      </c>
      <c r="L325" s="33"/>
      <c r="O325" s="2">
        <f t="shared" si="62"/>
        <v>2.1466666666666669E-2</v>
      </c>
      <c r="P325" s="2">
        <f t="shared" si="63"/>
        <v>15.456000000000003</v>
      </c>
      <c r="Q325" s="7">
        <f t="shared" si="64"/>
        <v>70.000000000000014</v>
      </c>
      <c r="R325" s="2">
        <v>1.2</v>
      </c>
      <c r="S325" s="2">
        <f t="shared" si="59"/>
        <v>4.45</v>
      </c>
      <c r="T325" s="2"/>
      <c r="U325" s="2"/>
      <c r="Y325" s="8">
        <f t="shared" si="60"/>
        <v>2.4920000000000004</v>
      </c>
    </row>
    <row r="326" spans="1:25" x14ac:dyDescent="0.25">
      <c r="A326" s="34">
        <f t="shared" si="74"/>
        <v>318</v>
      </c>
      <c r="B326" s="35">
        <f t="shared" si="74"/>
        <v>290</v>
      </c>
      <c r="C326" s="42" t="s">
        <v>124</v>
      </c>
      <c r="D326" s="35">
        <v>17</v>
      </c>
      <c r="E326" s="35">
        <v>2</v>
      </c>
      <c r="F326" s="36">
        <f>137436/1000000</f>
        <v>0.137436</v>
      </c>
      <c r="G326" s="36">
        <f t="shared" si="72"/>
        <v>2.7074892000000003E-2</v>
      </c>
      <c r="H326" s="36">
        <f>51520/1000000</f>
        <v>5.1520000000000003E-2</v>
      </c>
      <c r="I326" s="37">
        <f t="shared" si="73"/>
        <v>7.7280000000000005E-3</v>
      </c>
      <c r="J326" s="32">
        <f t="shared" si="58"/>
        <v>0.11463200000000001</v>
      </c>
      <c r="K326" s="33">
        <f t="shared" si="61"/>
        <v>1.71948E-2</v>
      </c>
      <c r="L326" s="33"/>
      <c r="O326" s="2">
        <f t="shared" si="62"/>
        <v>2.1466666666666669E-2</v>
      </c>
      <c r="P326" s="2">
        <f t="shared" si="63"/>
        <v>15.456000000000003</v>
      </c>
      <c r="Q326" s="7">
        <f t="shared" si="64"/>
        <v>70.000000000000014</v>
      </c>
      <c r="R326" s="2">
        <v>1.2</v>
      </c>
      <c r="S326" s="2">
        <f t="shared" si="59"/>
        <v>4.45</v>
      </c>
      <c r="T326" s="2"/>
      <c r="U326" s="2"/>
      <c r="Y326" s="8">
        <f t="shared" si="60"/>
        <v>2.4920000000000004</v>
      </c>
    </row>
    <row r="327" spans="1:25" x14ac:dyDescent="0.25">
      <c r="A327" s="34">
        <f t="shared" si="74"/>
        <v>319</v>
      </c>
      <c r="B327" s="35">
        <f t="shared" si="74"/>
        <v>291</v>
      </c>
      <c r="C327" s="42" t="s">
        <v>124</v>
      </c>
      <c r="D327" s="43">
        <v>18</v>
      </c>
      <c r="E327" s="43">
        <v>1</v>
      </c>
      <c r="F327" s="36">
        <f>137436/1000000</f>
        <v>0.137436</v>
      </c>
      <c r="G327" s="36">
        <f t="shared" si="72"/>
        <v>2.7074892000000003E-2</v>
      </c>
      <c r="H327" s="36">
        <f>61457/1000000</f>
        <v>6.1456999999999998E-2</v>
      </c>
      <c r="I327" s="37">
        <f t="shared" si="73"/>
        <v>9.218549999999999E-3</v>
      </c>
      <c r="J327" s="32">
        <f t="shared" si="58"/>
        <v>0.13674182500000001</v>
      </c>
      <c r="K327" s="33">
        <f t="shared" si="61"/>
        <v>2.051127375E-2</v>
      </c>
      <c r="L327" s="33"/>
      <c r="O327" s="2">
        <f t="shared" si="62"/>
        <v>2.5607083333333332E-2</v>
      </c>
      <c r="P327" s="2">
        <f t="shared" si="63"/>
        <v>18.437099999999997</v>
      </c>
      <c r="Q327" s="7">
        <f t="shared" si="64"/>
        <v>83.501358695652158</v>
      </c>
      <c r="R327" s="2">
        <v>1.2</v>
      </c>
      <c r="S327" s="2">
        <f t="shared" si="59"/>
        <v>4.45</v>
      </c>
      <c r="T327" s="2"/>
      <c r="U327" s="2"/>
      <c r="Y327" s="8">
        <f t="shared" si="60"/>
        <v>2.9726483695652175</v>
      </c>
    </row>
    <row r="328" spans="1:25" x14ac:dyDescent="0.25">
      <c r="A328" s="34">
        <f t="shared" si="74"/>
        <v>320</v>
      </c>
      <c r="B328" s="35">
        <f t="shared" si="74"/>
        <v>292</v>
      </c>
      <c r="C328" s="42" t="s">
        <v>124</v>
      </c>
      <c r="D328" s="35">
        <v>18</v>
      </c>
      <c r="E328" s="35">
        <v>2</v>
      </c>
      <c r="F328" s="36">
        <f>137436/1000000</f>
        <v>0.137436</v>
      </c>
      <c r="G328" s="36">
        <f t="shared" si="72"/>
        <v>2.7074892000000003E-2</v>
      </c>
      <c r="H328" s="36">
        <f>61457/1000000</f>
        <v>6.1456999999999998E-2</v>
      </c>
      <c r="I328" s="37">
        <f t="shared" si="73"/>
        <v>9.218549999999999E-3</v>
      </c>
      <c r="J328" s="32">
        <f t="shared" si="58"/>
        <v>0.13674182500000001</v>
      </c>
      <c r="K328" s="33">
        <f t="shared" si="61"/>
        <v>2.051127375E-2</v>
      </c>
      <c r="L328" s="33"/>
      <c r="O328" s="2">
        <f t="shared" si="62"/>
        <v>2.5607083333333332E-2</v>
      </c>
      <c r="P328" s="2">
        <f t="shared" si="63"/>
        <v>18.437099999999997</v>
      </c>
      <c r="Q328" s="7">
        <f t="shared" si="64"/>
        <v>83.501358695652158</v>
      </c>
      <c r="R328" s="2">
        <v>1.2</v>
      </c>
      <c r="S328" s="2">
        <f t="shared" si="59"/>
        <v>4.45</v>
      </c>
      <c r="T328" s="2"/>
      <c r="U328" s="2"/>
      <c r="Y328" s="8">
        <f t="shared" si="60"/>
        <v>2.9726483695652175</v>
      </c>
    </row>
    <row r="329" spans="1:25" x14ac:dyDescent="0.25">
      <c r="A329" s="34">
        <f t="shared" si="74"/>
        <v>321</v>
      </c>
      <c r="B329" s="35">
        <f t="shared" si="74"/>
        <v>293</v>
      </c>
      <c r="C329" s="42" t="s">
        <v>124</v>
      </c>
      <c r="D329" s="43">
        <v>19</v>
      </c>
      <c r="E329" s="43"/>
      <c r="F329" s="36">
        <f>180040/1000000</f>
        <v>0.18004000000000001</v>
      </c>
      <c r="G329" s="36">
        <f t="shared" si="72"/>
        <v>3.546788E-2</v>
      </c>
      <c r="H329" s="36">
        <f>79488/1000000</f>
        <v>7.9488000000000003E-2</v>
      </c>
      <c r="I329" s="37">
        <f t="shared" si="73"/>
        <v>1.19232E-2</v>
      </c>
      <c r="J329" s="32">
        <f t="shared" ref="J329:J392" si="75">O329*R329*S329</f>
        <v>0.17686080000000001</v>
      </c>
      <c r="K329" s="33">
        <f t="shared" si="61"/>
        <v>2.652912E-2</v>
      </c>
      <c r="L329" s="33"/>
      <c r="O329" s="2">
        <f t="shared" si="62"/>
        <v>3.3120000000000004E-2</v>
      </c>
      <c r="P329" s="2">
        <f t="shared" si="63"/>
        <v>23.846400000000003</v>
      </c>
      <c r="Q329" s="7">
        <f t="shared" si="64"/>
        <v>108.00000000000001</v>
      </c>
      <c r="R329" s="2">
        <v>1.2</v>
      </c>
      <c r="S329" s="2">
        <f t="shared" ref="S329:S392" si="76">IF(Q329&lt;=$AE$6,$AF$6,IF(Q329&lt;=$AE$7,$AF$7,IF(Q329&lt;=$AE$8,$AF$8,IF(Q329&lt;=$AE$9,$AF$9,IF(Q329&lt;=$AE$10,$AF$10,0)))))</f>
        <v>4.45</v>
      </c>
      <c r="T329" s="2"/>
      <c r="U329" s="2"/>
      <c r="Y329" s="8">
        <f t="shared" ref="Y329:Y392" si="77">J329/46*1000</f>
        <v>3.8448000000000002</v>
      </c>
    </row>
    <row r="330" spans="1:25" x14ac:dyDescent="0.25">
      <c r="A330" s="34">
        <f t="shared" si="74"/>
        <v>322</v>
      </c>
      <c r="B330" s="35">
        <f t="shared" si="74"/>
        <v>294</v>
      </c>
      <c r="C330" s="42" t="s">
        <v>124</v>
      </c>
      <c r="D330" s="43">
        <v>20</v>
      </c>
      <c r="E330" s="43"/>
      <c r="F330" s="36">
        <f>216671/1000000</f>
        <v>0.216671</v>
      </c>
      <c r="G330" s="36">
        <f t="shared" si="72"/>
        <v>4.2684187000000005E-2</v>
      </c>
      <c r="H330" s="36">
        <f>60352/1000000</f>
        <v>6.0352000000000003E-2</v>
      </c>
      <c r="I330" s="37">
        <f t="shared" si="73"/>
        <v>9.0527999999999997E-3</v>
      </c>
      <c r="J330" s="32">
        <f t="shared" si="75"/>
        <v>0.13428320000000002</v>
      </c>
      <c r="K330" s="33">
        <f t="shared" ref="K330:K393" si="78">J330*0.15</f>
        <v>2.0142480000000001E-2</v>
      </c>
      <c r="L330" s="33"/>
      <c r="O330" s="2">
        <f t="shared" si="62"/>
        <v>2.5146666666666668E-2</v>
      </c>
      <c r="P330" s="2">
        <f t="shared" si="63"/>
        <v>18.105600000000003</v>
      </c>
      <c r="Q330" s="7">
        <f t="shared" si="64"/>
        <v>82.000000000000014</v>
      </c>
      <c r="R330" s="2">
        <v>1.2</v>
      </c>
      <c r="S330" s="2">
        <f t="shared" si="76"/>
        <v>4.45</v>
      </c>
      <c r="T330" s="2"/>
      <c r="U330" s="2"/>
      <c r="Y330" s="8">
        <f t="shared" si="77"/>
        <v>2.9192000000000005</v>
      </c>
    </row>
    <row r="331" spans="1:25" x14ac:dyDescent="0.25">
      <c r="A331" s="34">
        <f t="shared" si="74"/>
        <v>323</v>
      </c>
      <c r="B331" s="35">
        <f t="shared" si="74"/>
        <v>295</v>
      </c>
      <c r="C331" s="42" t="s">
        <v>124</v>
      </c>
      <c r="D331" s="43">
        <v>28</v>
      </c>
      <c r="E331" s="43"/>
      <c r="F331" s="36">
        <f>180040/1000000</f>
        <v>0.18004000000000001</v>
      </c>
      <c r="G331" s="36">
        <f t="shared" si="72"/>
        <v>3.546788E-2</v>
      </c>
      <c r="H331" s="36">
        <f>80960/1000000</f>
        <v>8.0960000000000004E-2</v>
      </c>
      <c r="I331" s="37">
        <f t="shared" si="73"/>
        <v>1.2144E-2</v>
      </c>
      <c r="J331" s="32">
        <f t="shared" si="75"/>
        <v>0.18013600000000002</v>
      </c>
      <c r="K331" s="33">
        <f t="shared" si="78"/>
        <v>2.7020400000000003E-2</v>
      </c>
      <c r="L331" s="33"/>
      <c r="O331" s="2">
        <f t="shared" ref="O331:O394" si="79">H331/2.4</f>
        <v>3.3733333333333337E-2</v>
      </c>
      <c r="P331" s="2">
        <f t="shared" ref="P331:P394" si="80">O331*24*30</f>
        <v>24.288000000000004</v>
      </c>
      <c r="Q331" s="7">
        <f t="shared" ref="Q331:Q394" si="81">P331/0.2208</f>
        <v>110.00000000000001</v>
      </c>
      <c r="R331" s="2">
        <v>1.2</v>
      </c>
      <c r="S331" s="2">
        <f t="shared" si="76"/>
        <v>4.45</v>
      </c>
      <c r="T331" s="2"/>
      <c r="U331" s="2"/>
      <c r="Y331" s="8">
        <f t="shared" si="77"/>
        <v>3.9160000000000004</v>
      </c>
    </row>
    <row r="332" spans="1:25" x14ac:dyDescent="0.25">
      <c r="A332" s="34">
        <f t="shared" si="74"/>
        <v>324</v>
      </c>
      <c r="B332" s="35">
        <f t="shared" si="74"/>
        <v>296</v>
      </c>
      <c r="C332" s="42" t="s">
        <v>124</v>
      </c>
      <c r="D332" s="43">
        <v>29</v>
      </c>
      <c r="E332" s="43">
        <v>1</v>
      </c>
      <c r="F332" s="36">
        <f>172944/1000000</f>
        <v>0.17294399999999999</v>
      </c>
      <c r="G332" s="36">
        <f t="shared" si="72"/>
        <v>3.4069967999999999E-2</v>
      </c>
      <c r="H332" s="36">
        <f>89057/1000000</f>
        <v>8.9056999999999997E-2</v>
      </c>
      <c r="I332" s="37">
        <f t="shared" si="73"/>
        <v>1.3358549999999999E-2</v>
      </c>
      <c r="J332" s="32">
        <f t="shared" si="75"/>
        <v>0.198151825</v>
      </c>
      <c r="K332" s="33">
        <f t="shared" si="78"/>
        <v>2.9722773750000001E-2</v>
      </c>
      <c r="L332" s="33"/>
      <c r="O332" s="2">
        <f t="shared" si="79"/>
        <v>3.7107083333333332E-2</v>
      </c>
      <c r="P332" s="2">
        <f t="shared" si="80"/>
        <v>26.717099999999999</v>
      </c>
      <c r="Q332" s="7">
        <f t="shared" si="81"/>
        <v>121.00135869565217</v>
      </c>
      <c r="R332" s="2">
        <v>1.2</v>
      </c>
      <c r="S332" s="2">
        <f t="shared" si="76"/>
        <v>4.45</v>
      </c>
      <c r="T332" s="2"/>
      <c r="U332" s="2"/>
      <c r="Y332" s="8">
        <f t="shared" si="77"/>
        <v>4.3076483695652179</v>
      </c>
    </row>
    <row r="333" spans="1:25" x14ac:dyDescent="0.25">
      <c r="A333" s="34">
        <f t="shared" si="74"/>
        <v>325</v>
      </c>
      <c r="B333" s="35">
        <f t="shared" si="74"/>
        <v>297</v>
      </c>
      <c r="C333" s="42" t="s">
        <v>124</v>
      </c>
      <c r="D333" s="35">
        <v>29</v>
      </c>
      <c r="E333" s="35">
        <v>2</v>
      </c>
      <c r="F333" s="36">
        <f>172944/1000000</f>
        <v>0.17294399999999999</v>
      </c>
      <c r="G333" s="36">
        <f t="shared" si="72"/>
        <v>3.4069967999999999E-2</v>
      </c>
      <c r="H333" s="36">
        <f>89057/1000000</f>
        <v>8.9056999999999997E-2</v>
      </c>
      <c r="I333" s="37">
        <f t="shared" si="73"/>
        <v>1.3358549999999999E-2</v>
      </c>
      <c r="J333" s="32">
        <f t="shared" si="75"/>
        <v>0.198151825</v>
      </c>
      <c r="K333" s="33">
        <f t="shared" si="78"/>
        <v>2.9722773750000001E-2</v>
      </c>
      <c r="L333" s="33"/>
      <c r="O333" s="2">
        <f t="shared" si="79"/>
        <v>3.7107083333333332E-2</v>
      </c>
      <c r="P333" s="2">
        <f t="shared" si="80"/>
        <v>26.717099999999999</v>
      </c>
      <c r="Q333" s="7">
        <f t="shared" si="81"/>
        <v>121.00135869565217</v>
      </c>
      <c r="R333" s="2">
        <v>1.2</v>
      </c>
      <c r="S333" s="2">
        <f t="shared" si="76"/>
        <v>4.45</v>
      </c>
      <c r="T333" s="2"/>
      <c r="U333" s="2"/>
      <c r="Y333" s="8">
        <f t="shared" si="77"/>
        <v>4.3076483695652179</v>
      </c>
    </row>
    <row r="334" spans="1:25" x14ac:dyDescent="0.25">
      <c r="A334" s="34">
        <f t="shared" si="74"/>
        <v>326</v>
      </c>
      <c r="B334" s="35">
        <f t="shared" si="74"/>
        <v>298</v>
      </c>
      <c r="C334" s="42" t="s">
        <v>124</v>
      </c>
      <c r="D334" s="43" t="s">
        <v>126</v>
      </c>
      <c r="E334" s="43"/>
      <c r="F334" s="36">
        <f>203749/1000000</f>
        <v>0.20374900000000001</v>
      </c>
      <c r="G334" s="36">
        <f t="shared" si="72"/>
        <v>4.0138553000000007E-2</v>
      </c>
      <c r="H334" s="36">
        <f>106720/1000000</f>
        <v>0.10672</v>
      </c>
      <c r="I334" s="37">
        <f t="shared" si="73"/>
        <v>1.6007999999999998E-2</v>
      </c>
      <c r="J334" s="32">
        <f t="shared" si="75"/>
        <v>0.237452</v>
      </c>
      <c r="K334" s="33">
        <f t="shared" si="78"/>
        <v>3.5617799999999998E-2</v>
      </c>
      <c r="L334" s="33"/>
      <c r="O334" s="2">
        <f t="shared" si="79"/>
        <v>4.4466666666666668E-2</v>
      </c>
      <c r="P334" s="2">
        <f t="shared" si="80"/>
        <v>32.016000000000005</v>
      </c>
      <c r="Q334" s="7">
        <f t="shared" si="81"/>
        <v>145.00000000000003</v>
      </c>
      <c r="R334" s="2">
        <v>1.2</v>
      </c>
      <c r="S334" s="2">
        <f t="shared" si="76"/>
        <v>4.45</v>
      </c>
      <c r="T334" s="2"/>
      <c r="U334" s="2"/>
      <c r="Y334" s="8">
        <f t="shared" si="77"/>
        <v>5.1619999999999999</v>
      </c>
    </row>
    <row r="335" spans="1:25" x14ac:dyDescent="0.25">
      <c r="A335" s="34">
        <f t="shared" si="74"/>
        <v>327</v>
      </c>
      <c r="B335" s="35">
        <f t="shared" si="74"/>
        <v>299</v>
      </c>
      <c r="C335" s="42" t="s">
        <v>124</v>
      </c>
      <c r="D335" s="43">
        <v>30</v>
      </c>
      <c r="E335" s="43">
        <v>1</v>
      </c>
      <c r="F335" s="36">
        <f>171348/1000000</f>
        <v>0.171348</v>
      </c>
      <c r="G335" s="36">
        <f t="shared" si="72"/>
        <v>3.3755555999999999E-2</v>
      </c>
      <c r="H335" s="36">
        <f>93103/1000000</f>
        <v>9.3103000000000005E-2</v>
      </c>
      <c r="I335" s="37">
        <f t="shared" si="73"/>
        <v>1.3965450000000001E-2</v>
      </c>
      <c r="J335" s="32">
        <f t="shared" si="75"/>
        <v>0.20715417500000002</v>
      </c>
      <c r="K335" s="33">
        <f t="shared" si="78"/>
        <v>3.1073126250000003E-2</v>
      </c>
      <c r="L335" s="33"/>
      <c r="O335" s="2">
        <f t="shared" si="79"/>
        <v>3.879291666666667E-2</v>
      </c>
      <c r="P335" s="2">
        <f t="shared" si="80"/>
        <v>27.930900000000001</v>
      </c>
      <c r="Q335" s="7">
        <f t="shared" si="81"/>
        <v>126.49864130434783</v>
      </c>
      <c r="R335" s="2">
        <v>1.2</v>
      </c>
      <c r="S335" s="2">
        <f t="shared" si="76"/>
        <v>4.45</v>
      </c>
      <c r="T335" s="2"/>
      <c r="U335" s="2"/>
      <c r="Y335" s="8">
        <f t="shared" si="77"/>
        <v>4.5033516304347838</v>
      </c>
    </row>
    <row r="336" spans="1:25" x14ac:dyDescent="0.25">
      <c r="A336" s="34">
        <f t="shared" si="74"/>
        <v>328</v>
      </c>
      <c r="B336" s="35">
        <f t="shared" si="74"/>
        <v>300</v>
      </c>
      <c r="C336" s="42" t="s">
        <v>124</v>
      </c>
      <c r="D336" s="35">
        <v>30</v>
      </c>
      <c r="E336" s="35">
        <v>2</v>
      </c>
      <c r="F336" s="36">
        <f>171348/1000000</f>
        <v>0.171348</v>
      </c>
      <c r="G336" s="36">
        <f t="shared" si="72"/>
        <v>3.3755555999999999E-2</v>
      </c>
      <c r="H336" s="36">
        <f>93103/1000000</f>
        <v>9.3103000000000005E-2</v>
      </c>
      <c r="I336" s="37">
        <f t="shared" si="73"/>
        <v>1.3965450000000001E-2</v>
      </c>
      <c r="J336" s="32">
        <f t="shared" si="75"/>
        <v>0.20715417500000002</v>
      </c>
      <c r="K336" s="33">
        <f t="shared" si="78"/>
        <v>3.1073126250000003E-2</v>
      </c>
      <c r="L336" s="33"/>
      <c r="O336" s="2">
        <f t="shared" si="79"/>
        <v>3.879291666666667E-2</v>
      </c>
      <c r="P336" s="2">
        <f t="shared" si="80"/>
        <v>27.930900000000001</v>
      </c>
      <c r="Q336" s="7">
        <f t="shared" si="81"/>
        <v>126.49864130434783</v>
      </c>
      <c r="R336" s="2">
        <v>1.2</v>
      </c>
      <c r="S336" s="2">
        <f t="shared" si="76"/>
        <v>4.45</v>
      </c>
      <c r="T336" s="2"/>
      <c r="U336" s="2"/>
      <c r="Y336" s="8">
        <f t="shared" si="77"/>
        <v>4.5033516304347838</v>
      </c>
    </row>
    <row r="337" spans="1:25" x14ac:dyDescent="0.25">
      <c r="A337" s="34">
        <f t="shared" si="74"/>
        <v>329</v>
      </c>
      <c r="B337" s="35">
        <f t="shared" si="74"/>
        <v>301</v>
      </c>
      <c r="C337" s="42" t="s">
        <v>124</v>
      </c>
      <c r="D337" s="43" t="s">
        <v>38</v>
      </c>
      <c r="E337" s="43"/>
      <c r="F337" s="36">
        <f>216359/1000000</f>
        <v>0.216359</v>
      </c>
      <c r="G337" s="36">
        <f t="shared" si="72"/>
        <v>4.2622723000000001E-2</v>
      </c>
      <c r="H337" s="36">
        <f>112608/1000000</f>
        <v>0.112608</v>
      </c>
      <c r="I337" s="37">
        <f t="shared" si="73"/>
        <v>1.6891199999999999E-2</v>
      </c>
      <c r="J337" s="32">
        <f t="shared" si="75"/>
        <v>0.2083248</v>
      </c>
      <c r="K337" s="33">
        <f t="shared" si="78"/>
        <v>3.1248720000000001E-2</v>
      </c>
      <c r="L337" s="33"/>
      <c r="O337" s="2">
        <f t="shared" si="79"/>
        <v>4.6920000000000003E-2</v>
      </c>
      <c r="P337" s="2">
        <f t="shared" si="80"/>
        <v>33.782399999999996</v>
      </c>
      <c r="Q337" s="7">
        <f t="shared" si="81"/>
        <v>152.99999999999997</v>
      </c>
      <c r="R337" s="2">
        <v>1.2</v>
      </c>
      <c r="S337" s="2">
        <f t="shared" si="76"/>
        <v>3.7</v>
      </c>
      <c r="T337" s="2"/>
      <c r="U337" s="2"/>
      <c r="Y337" s="8">
        <f t="shared" si="77"/>
        <v>4.5288000000000004</v>
      </c>
    </row>
    <row r="338" spans="1:25" x14ac:dyDescent="0.25">
      <c r="A338" s="34">
        <f t="shared" si="74"/>
        <v>330</v>
      </c>
      <c r="B338" s="35">
        <f t="shared" si="74"/>
        <v>302</v>
      </c>
      <c r="C338" s="42" t="s">
        <v>124</v>
      </c>
      <c r="D338" s="43" t="s">
        <v>127</v>
      </c>
      <c r="E338" s="43"/>
      <c r="F338" s="36">
        <f>216359/1000000</f>
        <v>0.216359</v>
      </c>
      <c r="G338" s="36">
        <f t="shared" si="72"/>
        <v>4.2622723000000001E-2</v>
      </c>
      <c r="H338" s="36">
        <f>104512/1000000</f>
        <v>0.10451199999999999</v>
      </c>
      <c r="I338" s="37">
        <f t="shared" si="73"/>
        <v>1.5676799999999998E-2</v>
      </c>
      <c r="J338" s="32">
        <f t="shared" si="75"/>
        <v>0.2325392</v>
      </c>
      <c r="K338" s="33">
        <f t="shared" si="78"/>
        <v>3.4880879999999996E-2</v>
      </c>
      <c r="L338" s="33"/>
      <c r="O338" s="2">
        <f t="shared" si="79"/>
        <v>4.3546666666666664E-2</v>
      </c>
      <c r="P338" s="2">
        <f t="shared" si="80"/>
        <v>31.353599999999993</v>
      </c>
      <c r="Q338" s="7">
        <f t="shared" si="81"/>
        <v>141.99999999999997</v>
      </c>
      <c r="R338" s="2">
        <v>1.2</v>
      </c>
      <c r="S338" s="2">
        <f t="shared" si="76"/>
        <v>4.45</v>
      </c>
      <c r="T338" s="2"/>
      <c r="U338" s="2"/>
      <c r="Y338" s="8">
        <f t="shared" si="77"/>
        <v>5.0552000000000001</v>
      </c>
    </row>
    <row r="339" spans="1:25" x14ac:dyDescent="0.25">
      <c r="A339" s="34">
        <f t="shared" si="74"/>
        <v>331</v>
      </c>
      <c r="B339" s="35">
        <f t="shared" si="74"/>
        <v>303</v>
      </c>
      <c r="C339" s="42" t="s">
        <v>124</v>
      </c>
      <c r="D339" s="43" t="s">
        <v>128</v>
      </c>
      <c r="E339" s="43"/>
      <c r="F339" s="36">
        <f>179463/1000000</f>
        <v>0.17946300000000001</v>
      </c>
      <c r="G339" s="36">
        <f t="shared" si="72"/>
        <v>3.5354211000000003E-2</v>
      </c>
      <c r="H339" s="36">
        <f>93472/1000000</f>
        <v>9.3472E-2</v>
      </c>
      <c r="I339" s="37">
        <f t="shared" si="73"/>
        <v>1.40208E-2</v>
      </c>
      <c r="J339" s="32">
        <f t="shared" si="75"/>
        <v>0.20797520000000003</v>
      </c>
      <c r="K339" s="33">
        <f t="shared" si="78"/>
        <v>3.1196280000000003E-2</v>
      </c>
      <c r="L339" s="33"/>
      <c r="O339" s="2">
        <f t="shared" si="79"/>
        <v>3.8946666666666671E-2</v>
      </c>
      <c r="P339" s="2">
        <f t="shared" si="80"/>
        <v>28.041600000000003</v>
      </c>
      <c r="Q339" s="7">
        <f t="shared" si="81"/>
        <v>127.00000000000001</v>
      </c>
      <c r="R339" s="2">
        <v>1.2</v>
      </c>
      <c r="S339" s="2">
        <f t="shared" si="76"/>
        <v>4.45</v>
      </c>
      <c r="T339" s="2"/>
      <c r="U339" s="2"/>
      <c r="Y339" s="8">
        <f t="shared" si="77"/>
        <v>4.5212000000000003</v>
      </c>
    </row>
    <row r="340" spans="1:25" x14ac:dyDescent="0.25">
      <c r="A340" s="34">
        <f t="shared" ref="A340:B355" si="82">A339+1</f>
        <v>332</v>
      </c>
      <c r="B340" s="35">
        <f t="shared" si="82"/>
        <v>304</v>
      </c>
      <c r="C340" s="42" t="s">
        <v>124</v>
      </c>
      <c r="D340" s="43">
        <v>31</v>
      </c>
      <c r="E340" s="43"/>
      <c r="F340" s="36">
        <f>182232/1000000</f>
        <v>0.18223200000000001</v>
      </c>
      <c r="G340" s="36">
        <f t="shared" si="72"/>
        <v>3.5899704000000005E-2</v>
      </c>
      <c r="H340" s="36">
        <f>78016/1000000</f>
        <v>7.8016000000000002E-2</v>
      </c>
      <c r="I340" s="37">
        <f t="shared" si="73"/>
        <v>1.17024E-2</v>
      </c>
      <c r="J340" s="32">
        <f t="shared" si="75"/>
        <v>0.17358560000000001</v>
      </c>
      <c r="K340" s="33">
        <f t="shared" si="78"/>
        <v>2.603784E-2</v>
      </c>
      <c r="L340" s="33"/>
      <c r="O340" s="2">
        <f t="shared" si="79"/>
        <v>3.250666666666667E-2</v>
      </c>
      <c r="P340" s="2">
        <f t="shared" si="80"/>
        <v>23.404800000000002</v>
      </c>
      <c r="Q340" s="7">
        <f t="shared" si="81"/>
        <v>106.00000000000001</v>
      </c>
      <c r="R340" s="2">
        <v>1.2</v>
      </c>
      <c r="S340" s="2">
        <f t="shared" si="76"/>
        <v>4.45</v>
      </c>
      <c r="T340" s="2"/>
      <c r="U340" s="2"/>
      <c r="Y340" s="8">
        <f t="shared" si="77"/>
        <v>3.7736000000000001</v>
      </c>
    </row>
    <row r="341" spans="1:25" x14ac:dyDescent="0.25">
      <c r="A341" s="34">
        <f t="shared" si="82"/>
        <v>333</v>
      </c>
      <c r="B341" s="35">
        <f t="shared" si="82"/>
        <v>305</v>
      </c>
      <c r="C341" s="42" t="s">
        <v>124</v>
      </c>
      <c r="D341" s="43" t="s">
        <v>129</v>
      </c>
      <c r="E341" s="43"/>
      <c r="F341" s="36">
        <f>203749/1000000</f>
        <v>0.20374900000000001</v>
      </c>
      <c r="G341" s="36">
        <f t="shared" si="72"/>
        <v>4.0138553000000007E-2</v>
      </c>
      <c r="H341" s="36">
        <f>91264/1000000</f>
        <v>9.1263999999999998E-2</v>
      </c>
      <c r="I341" s="37">
        <f t="shared" si="73"/>
        <v>1.36896E-2</v>
      </c>
      <c r="J341" s="32">
        <f t="shared" si="75"/>
        <v>0.2030624</v>
      </c>
      <c r="K341" s="33">
        <f t="shared" si="78"/>
        <v>3.0459359999999998E-2</v>
      </c>
      <c r="L341" s="33"/>
      <c r="O341" s="2">
        <f t="shared" si="79"/>
        <v>3.8026666666666667E-2</v>
      </c>
      <c r="P341" s="2">
        <f t="shared" si="80"/>
        <v>27.379200000000001</v>
      </c>
      <c r="Q341" s="7">
        <f t="shared" si="81"/>
        <v>124</v>
      </c>
      <c r="R341" s="2">
        <v>1.2</v>
      </c>
      <c r="S341" s="2">
        <f t="shared" si="76"/>
        <v>4.45</v>
      </c>
      <c r="T341" s="2"/>
      <c r="U341" s="2"/>
      <c r="Y341" s="8">
        <f t="shared" si="77"/>
        <v>4.4143999999999997</v>
      </c>
    </row>
    <row r="342" spans="1:25" x14ac:dyDescent="0.25">
      <c r="A342" s="34">
        <f t="shared" si="82"/>
        <v>334</v>
      </c>
      <c r="B342" s="35">
        <f t="shared" si="82"/>
        <v>306</v>
      </c>
      <c r="C342" s="42" t="s">
        <v>124</v>
      </c>
      <c r="D342" s="43" t="s">
        <v>130</v>
      </c>
      <c r="E342" s="43">
        <v>1</v>
      </c>
      <c r="F342" s="36">
        <f>159948/1000000</f>
        <v>0.15994800000000001</v>
      </c>
      <c r="G342" s="36">
        <f t="shared" si="72"/>
        <v>3.1509756E-2</v>
      </c>
      <c r="H342" s="36">
        <f>67711/1000000</f>
        <v>6.7710999999999993E-2</v>
      </c>
      <c r="I342" s="37">
        <f t="shared" si="73"/>
        <v>1.0156649999999998E-2</v>
      </c>
      <c r="J342" s="32">
        <f t="shared" si="75"/>
        <v>0.150656975</v>
      </c>
      <c r="K342" s="33">
        <f t="shared" si="78"/>
        <v>2.259854625E-2</v>
      </c>
      <c r="L342" s="33"/>
      <c r="O342" s="2">
        <f t="shared" si="79"/>
        <v>2.8212916666666664E-2</v>
      </c>
      <c r="P342" s="2">
        <f t="shared" si="80"/>
        <v>20.313299999999998</v>
      </c>
      <c r="Q342" s="7">
        <f t="shared" si="81"/>
        <v>91.998641304347814</v>
      </c>
      <c r="R342" s="2">
        <v>1.2</v>
      </c>
      <c r="S342" s="2">
        <f t="shared" si="76"/>
        <v>4.45</v>
      </c>
      <c r="T342" s="2"/>
      <c r="U342" s="2"/>
      <c r="Y342" s="8">
        <f t="shared" si="77"/>
        <v>3.2751516304347823</v>
      </c>
    </row>
    <row r="343" spans="1:25" x14ac:dyDescent="0.25">
      <c r="A343" s="34">
        <f t="shared" si="82"/>
        <v>335</v>
      </c>
      <c r="B343" s="35">
        <f t="shared" si="82"/>
        <v>307</v>
      </c>
      <c r="C343" s="42" t="s">
        <v>124</v>
      </c>
      <c r="D343" s="35" t="s">
        <v>130</v>
      </c>
      <c r="E343" s="35">
        <v>2</v>
      </c>
      <c r="F343" s="36">
        <f>159948/1000000</f>
        <v>0.15994800000000001</v>
      </c>
      <c r="G343" s="36">
        <f t="shared" si="72"/>
        <v>3.1509756E-2</v>
      </c>
      <c r="H343" s="36">
        <f>67711/1000000</f>
        <v>6.7710999999999993E-2</v>
      </c>
      <c r="I343" s="37">
        <f t="shared" si="73"/>
        <v>1.0156649999999998E-2</v>
      </c>
      <c r="J343" s="32">
        <f t="shared" si="75"/>
        <v>0.150656975</v>
      </c>
      <c r="K343" s="33">
        <f t="shared" si="78"/>
        <v>2.259854625E-2</v>
      </c>
      <c r="L343" s="33"/>
      <c r="O343" s="2">
        <f t="shared" si="79"/>
        <v>2.8212916666666664E-2</v>
      </c>
      <c r="P343" s="2">
        <f t="shared" si="80"/>
        <v>20.313299999999998</v>
      </c>
      <c r="Q343" s="7">
        <f t="shared" si="81"/>
        <v>91.998641304347814</v>
      </c>
      <c r="R343" s="2">
        <v>1.2</v>
      </c>
      <c r="S343" s="2">
        <f t="shared" si="76"/>
        <v>4.45</v>
      </c>
      <c r="T343" s="2"/>
      <c r="U343" s="2"/>
      <c r="Y343" s="8">
        <f t="shared" si="77"/>
        <v>3.2751516304347823</v>
      </c>
    </row>
    <row r="344" spans="1:25" x14ac:dyDescent="0.25">
      <c r="A344" s="34">
        <f t="shared" si="82"/>
        <v>336</v>
      </c>
      <c r="B344" s="35">
        <f t="shared" si="82"/>
        <v>308</v>
      </c>
      <c r="C344" s="42" t="s">
        <v>124</v>
      </c>
      <c r="D344" s="43" t="s">
        <v>131</v>
      </c>
      <c r="E344" s="43">
        <v>1</v>
      </c>
      <c r="F344" s="36">
        <f>94783/1000000</f>
        <v>9.4783000000000006E-2</v>
      </c>
      <c r="G344" s="36">
        <f t="shared" si="72"/>
        <v>1.8672251000000001E-2</v>
      </c>
      <c r="H344" s="36">
        <f>53238/1000000</f>
        <v>5.3238000000000001E-2</v>
      </c>
      <c r="I344" s="37">
        <f t="shared" si="73"/>
        <v>7.9857000000000001E-3</v>
      </c>
      <c r="J344" s="32">
        <f t="shared" si="75"/>
        <v>0.11845455000000001</v>
      </c>
      <c r="K344" s="33">
        <f t="shared" si="78"/>
        <v>1.77681825E-2</v>
      </c>
      <c r="L344" s="33"/>
      <c r="O344" s="2">
        <f t="shared" si="79"/>
        <v>2.2182500000000001E-2</v>
      </c>
      <c r="P344" s="2">
        <f t="shared" si="80"/>
        <v>15.971400000000003</v>
      </c>
      <c r="Q344" s="7">
        <f t="shared" si="81"/>
        <v>72.334239130434796</v>
      </c>
      <c r="R344" s="2">
        <v>1.2</v>
      </c>
      <c r="S344" s="2">
        <f t="shared" si="76"/>
        <v>4.45</v>
      </c>
      <c r="T344" s="2"/>
      <c r="U344" s="2"/>
      <c r="Y344" s="8">
        <f t="shared" si="77"/>
        <v>2.5750989130434787</v>
      </c>
    </row>
    <row r="345" spans="1:25" x14ac:dyDescent="0.25">
      <c r="A345" s="34">
        <f t="shared" si="82"/>
        <v>337</v>
      </c>
      <c r="B345" s="35">
        <f t="shared" si="82"/>
        <v>309</v>
      </c>
      <c r="C345" s="42" t="s">
        <v>124</v>
      </c>
      <c r="D345" s="43" t="s">
        <v>131</v>
      </c>
      <c r="E345" s="35">
        <v>2</v>
      </c>
      <c r="F345" s="36">
        <f>94783/1000000</f>
        <v>9.4783000000000006E-2</v>
      </c>
      <c r="G345" s="36">
        <f t="shared" si="72"/>
        <v>1.8672251000000001E-2</v>
      </c>
      <c r="H345" s="36">
        <f>53238/1000000</f>
        <v>5.3238000000000001E-2</v>
      </c>
      <c r="I345" s="37">
        <f t="shared" si="73"/>
        <v>7.9857000000000001E-3</v>
      </c>
      <c r="J345" s="32">
        <f t="shared" si="75"/>
        <v>0.11845455000000001</v>
      </c>
      <c r="K345" s="33">
        <f t="shared" si="78"/>
        <v>1.77681825E-2</v>
      </c>
      <c r="L345" s="33"/>
      <c r="O345" s="2">
        <f t="shared" si="79"/>
        <v>2.2182500000000001E-2</v>
      </c>
      <c r="P345" s="2">
        <f t="shared" si="80"/>
        <v>15.971400000000003</v>
      </c>
      <c r="Q345" s="7">
        <f t="shared" si="81"/>
        <v>72.334239130434796</v>
      </c>
      <c r="R345" s="2">
        <v>1.2</v>
      </c>
      <c r="S345" s="2">
        <f t="shared" si="76"/>
        <v>4.45</v>
      </c>
      <c r="T345" s="2"/>
      <c r="U345" s="2"/>
      <c r="Y345" s="8">
        <f t="shared" si="77"/>
        <v>2.5750989130434787</v>
      </c>
    </row>
    <row r="346" spans="1:25" x14ac:dyDescent="0.25">
      <c r="A346" s="34">
        <f t="shared" si="82"/>
        <v>338</v>
      </c>
      <c r="B346" s="35">
        <f t="shared" si="82"/>
        <v>310</v>
      </c>
      <c r="C346" s="42" t="s">
        <v>124</v>
      </c>
      <c r="D346" s="43" t="s">
        <v>131</v>
      </c>
      <c r="E346" s="35">
        <v>3</v>
      </c>
      <c r="F346" s="36">
        <f>94783/1000000</f>
        <v>9.4783000000000006E-2</v>
      </c>
      <c r="G346" s="36">
        <f t="shared" si="72"/>
        <v>1.8672251000000001E-2</v>
      </c>
      <c r="H346" s="36">
        <f>53238/1000000</f>
        <v>5.3238000000000001E-2</v>
      </c>
      <c r="I346" s="37">
        <f t="shared" si="73"/>
        <v>7.9857000000000001E-3</v>
      </c>
      <c r="J346" s="32">
        <f t="shared" si="75"/>
        <v>0.11845455000000001</v>
      </c>
      <c r="K346" s="33">
        <f t="shared" si="78"/>
        <v>1.77681825E-2</v>
      </c>
      <c r="L346" s="33"/>
      <c r="O346" s="2">
        <f t="shared" si="79"/>
        <v>2.2182500000000001E-2</v>
      </c>
      <c r="P346" s="2">
        <f t="shared" si="80"/>
        <v>15.971400000000003</v>
      </c>
      <c r="Q346" s="7">
        <f t="shared" si="81"/>
        <v>72.334239130434796</v>
      </c>
      <c r="R346" s="2">
        <v>1.2</v>
      </c>
      <c r="S346" s="2">
        <f t="shared" si="76"/>
        <v>4.45</v>
      </c>
      <c r="T346" s="2"/>
      <c r="U346" s="2"/>
      <c r="Y346" s="8">
        <f t="shared" si="77"/>
        <v>2.5750989130434787</v>
      </c>
    </row>
    <row r="347" spans="1:25" x14ac:dyDescent="0.25">
      <c r="A347" s="34">
        <f t="shared" si="82"/>
        <v>339</v>
      </c>
      <c r="B347" s="35">
        <f t="shared" si="82"/>
        <v>311</v>
      </c>
      <c r="C347" s="42" t="s">
        <v>124</v>
      </c>
      <c r="D347" s="43">
        <v>32</v>
      </c>
      <c r="E347" s="43"/>
      <c r="F347" s="36">
        <f>181617/1000000</f>
        <v>0.181617</v>
      </c>
      <c r="G347" s="36">
        <f t="shared" si="72"/>
        <v>3.5778549E-2</v>
      </c>
      <c r="H347" s="36">
        <f>80222/1000000</f>
        <v>8.0222000000000002E-2</v>
      </c>
      <c r="I347" s="37">
        <f t="shared" si="73"/>
        <v>1.20333E-2</v>
      </c>
      <c r="J347" s="32">
        <f t="shared" si="75"/>
        <v>0.17849395000000001</v>
      </c>
      <c r="K347" s="33">
        <f t="shared" si="78"/>
        <v>2.6774092500000003E-2</v>
      </c>
      <c r="L347" s="33"/>
      <c r="O347" s="2">
        <f t="shared" si="79"/>
        <v>3.3425833333333335E-2</v>
      </c>
      <c r="P347" s="2">
        <f t="shared" si="80"/>
        <v>24.066600000000001</v>
      </c>
      <c r="Q347" s="7">
        <f t="shared" si="81"/>
        <v>108.99728260869566</v>
      </c>
      <c r="R347" s="2">
        <v>1.2</v>
      </c>
      <c r="S347" s="2">
        <f t="shared" si="76"/>
        <v>4.45</v>
      </c>
      <c r="T347" s="2"/>
      <c r="U347" s="2"/>
      <c r="Y347" s="8">
        <f t="shared" si="77"/>
        <v>3.8803032608695656</v>
      </c>
    </row>
    <row r="348" spans="1:25" x14ac:dyDescent="0.25">
      <c r="A348" s="34">
        <f t="shared" si="82"/>
        <v>340</v>
      </c>
      <c r="B348" s="35">
        <f t="shared" si="82"/>
        <v>312</v>
      </c>
      <c r="C348" s="42" t="s">
        <v>124</v>
      </c>
      <c r="D348" s="43" t="s">
        <v>106</v>
      </c>
      <c r="E348" s="43">
        <v>1</v>
      </c>
      <c r="F348" s="36">
        <v>9.9099999999999994E-2</v>
      </c>
      <c r="G348" s="36">
        <v>1.95E-2</v>
      </c>
      <c r="H348" s="36">
        <v>0.04</v>
      </c>
      <c r="I348" s="37">
        <v>5.9899999999999997E-3</v>
      </c>
      <c r="J348" s="32">
        <f t="shared" si="75"/>
        <v>8.900000000000001E-2</v>
      </c>
      <c r="K348" s="33">
        <f t="shared" si="78"/>
        <v>1.3350000000000001E-2</v>
      </c>
      <c r="L348" s="33"/>
      <c r="O348" s="2">
        <f t="shared" si="79"/>
        <v>1.6666666666666666E-2</v>
      </c>
      <c r="P348" s="2">
        <f t="shared" si="80"/>
        <v>12</v>
      </c>
      <c r="Q348" s="7">
        <f t="shared" si="81"/>
        <v>54.347826086956523</v>
      </c>
      <c r="R348" s="2">
        <v>1.2</v>
      </c>
      <c r="S348" s="2">
        <f t="shared" si="76"/>
        <v>4.45</v>
      </c>
      <c r="T348" s="2"/>
      <c r="U348" s="2"/>
      <c r="Y348" s="8">
        <f t="shared" si="77"/>
        <v>1.9347826086956523</v>
      </c>
    </row>
    <row r="349" spans="1:25" x14ac:dyDescent="0.25">
      <c r="A349" s="34">
        <f t="shared" si="82"/>
        <v>341</v>
      </c>
      <c r="B349" s="35">
        <f t="shared" si="82"/>
        <v>313</v>
      </c>
      <c r="C349" s="42" t="s">
        <v>124</v>
      </c>
      <c r="D349" s="35" t="s">
        <v>106</v>
      </c>
      <c r="E349" s="35">
        <v>2</v>
      </c>
      <c r="F349" s="36">
        <f>91671/1000000</f>
        <v>9.1671000000000002E-2</v>
      </c>
      <c r="G349" s="36">
        <f t="shared" si="72"/>
        <v>1.8059187000000001E-2</v>
      </c>
      <c r="H349" s="36">
        <f>50469/1000000</f>
        <v>5.0469E-2</v>
      </c>
      <c r="I349" s="37">
        <f t="shared" si="73"/>
        <v>7.57035E-3</v>
      </c>
      <c r="J349" s="32">
        <f t="shared" si="75"/>
        <v>0.11229352500000002</v>
      </c>
      <c r="K349" s="33">
        <f t="shared" si="78"/>
        <v>1.6844028750000004E-2</v>
      </c>
      <c r="L349" s="33"/>
      <c r="O349" s="2">
        <f t="shared" si="79"/>
        <v>2.1028750000000002E-2</v>
      </c>
      <c r="P349" s="2">
        <f t="shared" si="80"/>
        <v>15.140700000000002</v>
      </c>
      <c r="Q349" s="7">
        <f t="shared" si="81"/>
        <v>68.572010869565233</v>
      </c>
      <c r="R349" s="2">
        <v>1.2</v>
      </c>
      <c r="S349" s="2">
        <f t="shared" si="76"/>
        <v>4.45</v>
      </c>
      <c r="T349" s="2"/>
      <c r="U349" s="2"/>
      <c r="Y349" s="8">
        <f t="shared" si="77"/>
        <v>2.441163586956522</v>
      </c>
    </row>
    <row r="350" spans="1:25" x14ac:dyDescent="0.25">
      <c r="A350" s="34">
        <f t="shared" si="82"/>
        <v>342</v>
      </c>
      <c r="B350" s="35">
        <f t="shared" si="82"/>
        <v>314</v>
      </c>
      <c r="C350" s="42" t="s">
        <v>124</v>
      </c>
      <c r="D350" s="43">
        <v>33</v>
      </c>
      <c r="E350" s="43"/>
      <c r="F350" s="36">
        <f>182232/1000000</f>
        <v>0.18223200000000001</v>
      </c>
      <c r="G350" s="36">
        <f t="shared" si="72"/>
        <v>3.5899704000000005E-2</v>
      </c>
      <c r="H350" s="36">
        <f>78016/1000000</f>
        <v>7.8016000000000002E-2</v>
      </c>
      <c r="I350" s="37">
        <f t="shared" si="73"/>
        <v>1.17024E-2</v>
      </c>
      <c r="J350" s="32">
        <f t="shared" si="75"/>
        <v>0.17358560000000001</v>
      </c>
      <c r="K350" s="33">
        <f t="shared" si="78"/>
        <v>2.603784E-2</v>
      </c>
      <c r="L350" s="33"/>
      <c r="O350" s="2">
        <f t="shared" si="79"/>
        <v>3.250666666666667E-2</v>
      </c>
      <c r="P350" s="2">
        <f t="shared" si="80"/>
        <v>23.404800000000002</v>
      </c>
      <c r="Q350" s="7">
        <f t="shared" si="81"/>
        <v>106.00000000000001</v>
      </c>
      <c r="R350" s="2">
        <v>1.2</v>
      </c>
      <c r="S350" s="2">
        <f t="shared" si="76"/>
        <v>4.45</v>
      </c>
      <c r="T350" s="2"/>
      <c r="U350" s="2"/>
      <c r="Y350" s="8">
        <f t="shared" si="77"/>
        <v>3.7736000000000001</v>
      </c>
    </row>
    <row r="351" spans="1:25" x14ac:dyDescent="0.25">
      <c r="A351" s="34">
        <f t="shared" si="82"/>
        <v>343</v>
      </c>
      <c r="B351" s="35">
        <f t="shared" si="82"/>
        <v>315</v>
      </c>
      <c r="C351" s="42" t="s">
        <v>124</v>
      </c>
      <c r="D351" s="43">
        <v>34</v>
      </c>
      <c r="E351" s="43"/>
      <c r="F351" s="36">
        <f>182232/1000000</f>
        <v>0.18223200000000001</v>
      </c>
      <c r="G351" s="36">
        <f t="shared" si="72"/>
        <v>3.5899704000000005E-2</v>
      </c>
      <c r="H351" s="36">
        <f>81696/1000000</f>
        <v>8.1696000000000005E-2</v>
      </c>
      <c r="I351" s="37">
        <f t="shared" si="73"/>
        <v>1.22544E-2</v>
      </c>
      <c r="J351" s="32">
        <f t="shared" si="75"/>
        <v>0.18177360000000001</v>
      </c>
      <c r="K351" s="33">
        <f t="shared" si="78"/>
        <v>2.7266040000000002E-2</v>
      </c>
      <c r="L351" s="33"/>
      <c r="O351" s="2">
        <f t="shared" si="79"/>
        <v>3.4040000000000001E-2</v>
      </c>
      <c r="P351" s="2">
        <f t="shared" si="80"/>
        <v>24.508800000000001</v>
      </c>
      <c r="Q351" s="7">
        <f t="shared" si="81"/>
        <v>111</v>
      </c>
      <c r="R351" s="2">
        <v>1.2</v>
      </c>
      <c r="S351" s="2">
        <f t="shared" si="76"/>
        <v>4.45</v>
      </c>
      <c r="T351" s="2"/>
      <c r="U351" s="2"/>
      <c r="Y351" s="8">
        <f t="shared" si="77"/>
        <v>3.9516000000000004</v>
      </c>
    </row>
    <row r="352" spans="1:25" x14ac:dyDescent="0.25">
      <c r="A352" s="34">
        <f t="shared" si="82"/>
        <v>344</v>
      </c>
      <c r="B352" s="35">
        <f t="shared" si="82"/>
        <v>316</v>
      </c>
      <c r="C352" s="42" t="s">
        <v>124</v>
      </c>
      <c r="D352" s="43">
        <v>35</v>
      </c>
      <c r="E352" s="43"/>
      <c r="F352" s="36">
        <f>135583/1000000</f>
        <v>0.13558300000000001</v>
      </c>
      <c r="G352" s="36">
        <f t="shared" si="72"/>
        <v>2.6709851000000003E-2</v>
      </c>
      <c r="H352" s="36">
        <f>60352/1000000</f>
        <v>6.0352000000000003E-2</v>
      </c>
      <c r="I352" s="37">
        <f t="shared" si="73"/>
        <v>9.0527999999999997E-3</v>
      </c>
      <c r="J352" s="32">
        <f t="shared" si="75"/>
        <v>0.13428320000000002</v>
      </c>
      <c r="K352" s="33">
        <f t="shared" si="78"/>
        <v>2.0142480000000001E-2</v>
      </c>
      <c r="L352" s="33"/>
      <c r="O352" s="2">
        <f t="shared" si="79"/>
        <v>2.5146666666666668E-2</v>
      </c>
      <c r="P352" s="2">
        <f t="shared" si="80"/>
        <v>18.105600000000003</v>
      </c>
      <c r="Q352" s="7">
        <f t="shared" si="81"/>
        <v>82.000000000000014</v>
      </c>
      <c r="R352" s="2">
        <v>1.2</v>
      </c>
      <c r="S352" s="2">
        <f t="shared" si="76"/>
        <v>4.45</v>
      </c>
      <c r="T352" s="2"/>
      <c r="U352" s="2"/>
      <c r="Y352" s="8">
        <f t="shared" si="77"/>
        <v>2.9192000000000005</v>
      </c>
    </row>
    <row r="353" spans="1:25" x14ac:dyDescent="0.25">
      <c r="A353" s="34">
        <f t="shared" si="82"/>
        <v>345</v>
      </c>
      <c r="B353" s="35">
        <f t="shared" si="82"/>
        <v>317</v>
      </c>
      <c r="C353" s="42" t="s">
        <v>124</v>
      </c>
      <c r="D353" s="43">
        <v>36</v>
      </c>
      <c r="E353" s="43">
        <v>1</v>
      </c>
      <c r="F353" s="36">
        <f>132353/1000000</f>
        <v>0.132353</v>
      </c>
      <c r="G353" s="36">
        <f t="shared" si="72"/>
        <v>2.6073541000000002E-2</v>
      </c>
      <c r="H353" s="36">
        <f>58144/1000000</f>
        <v>5.8144000000000001E-2</v>
      </c>
      <c r="I353" s="37">
        <f t="shared" si="73"/>
        <v>8.7215999999999995E-3</v>
      </c>
      <c r="J353" s="32">
        <f t="shared" si="75"/>
        <v>0.1293704</v>
      </c>
      <c r="K353" s="33">
        <f t="shared" si="78"/>
        <v>1.9405559999999999E-2</v>
      </c>
      <c r="L353" s="33"/>
      <c r="O353" s="2">
        <f t="shared" si="79"/>
        <v>2.4226666666666667E-2</v>
      </c>
      <c r="P353" s="2">
        <f t="shared" si="80"/>
        <v>17.443199999999997</v>
      </c>
      <c r="Q353" s="7">
        <f t="shared" si="81"/>
        <v>78.999999999999986</v>
      </c>
      <c r="R353" s="2">
        <v>1.2</v>
      </c>
      <c r="S353" s="2">
        <f t="shared" si="76"/>
        <v>4.45</v>
      </c>
      <c r="T353" s="2"/>
      <c r="U353" s="2"/>
      <c r="Y353" s="8">
        <f t="shared" si="77"/>
        <v>2.8124000000000002</v>
      </c>
    </row>
    <row r="354" spans="1:25" x14ac:dyDescent="0.25">
      <c r="A354" s="34">
        <f t="shared" si="82"/>
        <v>346</v>
      </c>
      <c r="B354" s="35">
        <f t="shared" si="82"/>
        <v>318</v>
      </c>
      <c r="C354" s="42" t="s">
        <v>124</v>
      </c>
      <c r="D354" s="35">
        <v>36</v>
      </c>
      <c r="E354" s="35">
        <v>2</v>
      </c>
      <c r="F354" s="36">
        <f>132353/1000000</f>
        <v>0.132353</v>
      </c>
      <c r="G354" s="36">
        <f t="shared" si="72"/>
        <v>2.6073541000000002E-2</v>
      </c>
      <c r="H354" s="36">
        <f>58144/1000000</f>
        <v>5.8144000000000001E-2</v>
      </c>
      <c r="I354" s="37">
        <f t="shared" si="73"/>
        <v>8.7215999999999995E-3</v>
      </c>
      <c r="J354" s="32">
        <f t="shared" si="75"/>
        <v>0.1293704</v>
      </c>
      <c r="K354" s="33">
        <f t="shared" si="78"/>
        <v>1.9405559999999999E-2</v>
      </c>
      <c r="L354" s="33"/>
      <c r="O354" s="2">
        <f t="shared" si="79"/>
        <v>2.4226666666666667E-2</v>
      </c>
      <c r="P354" s="2">
        <f t="shared" si="80"/>
        <v>17.443199999999997</v>
      </c>
      <c r="Q354" s="7">
        <f t="shared" si="81"/>
        <v>78.999999999999986</v>
      </c>
      <c r="R354" s="2">
        <v>1.2</v>
      </c>
      <c r="S354" s="2">
        <f t="shared" si="76"/>
        <v>4.45</v>
      </c>
      <c r="T354" s="2"/>
      <c r="U354" s="2"/>
      <c r="Y354" s="8">
        <f t="shared" si="77"/>
        <v>2.8124000000000002</v>
      </c>
    </row>
    <row r="355" spans="1:25" x14ac:dyDescent="0.25">
      <c r="A355" s="34">
        <f t="shared" si="82"/>
        <v>347</v>
      </c>
      <c r="B355" s="35">
        <f t="shared" si="82"/>
        <v>319</v>
      </c>
      <c r="C355" s="42" t="s">
        <v>124</v>
      </c>
      <c r="D355" s="43">
        <v>37</v>
      </c>
      <c r="E355" s="43">
        <v>1</v>
      </c>
      <c r="F355" s="36">
        <f>144538/1000000</f>
        <v>0.144538</v>
      </c>
      <c r="G355" s="36">
        <f t="shared" si="72"/>
        <v>2.8473986E-2</v>
      </c>
      <c r="H355" s="36">
        <f>59249/1000000</f>
        <v>5.9249000000000003E-2</v>
      </c>
      <c r="I355" s="37">
        <f t="shared" si="73"/>
        <v>8.8873500000000005E-3</v>
      </c>
      <c r="J355" s="32">
        <f t="shared" si="75"/>
        <v>0.13182902500000002</v>
      </c>
      <c r="K355" s="33">
        <f t="shared" si="78"/>
        <v>1.9774353750000001E-2</v>
      </c>
      <c r="L355" s="33"/>
      <c r="O355" s="2">
        <f t="shared" si="79"/>
        <v>2.4687083333333335E-2</v>
      </c>
      <c r="P355" s="2">
        <f t="shared" si="80"/>
        <v>17.774700000000003</v>
      </c>
      <c r="Q355" s="7">
        <f t="shared" si="81"/>
        <v>80.501358695652186</v>
      </c>
      <c r="R355" s="2">
        <v>1.2</v>
      </c>
      <c r="S355" s="2">
        <f t="shared" si="76"/>
        <v>4.45</v>
      </c>
      <c r="T355" s="2"/>
      <c r="U355" s="2"/>
      <c r="Y355" s="8">
        <f t="shared" si="77"/>
        <v>2.8658483695652177</v>
      </c>
    </row>
    <row r="356" spans="1:25" x14ac:dyDescent="0.25">
      <c r="A356" s="34">
        <f t="shared" ref="A356:B371" si="83">A355+1</f>
        <v>348</v>
      </c>
      <c r="B356" s="35">
        <f t="shared" si="83"/>
        <v>320</v>
      </c>
      <c r="C356" s="42" t="s">
        <v>124</v>
      </c>
      <c r="D356" s="35">
        <v>37</v>
      </c>
      <c r="E356" s="35">
        <v>2</v>
      </c>
      <c r="F356" s="36">
        <f>144538/1000000</f>
        <v>0.144538</v>
      </c>
      <c r="G356" s="36">
        <f t="shared" si="72"/>
        <v>2.8473986E-2</v>
      </c>
      <c r="H356" s="36">
        <f>59249/1000000</f>
        <v>5.9249000000000003E-2</v>
      </c>
      <c r="I356" s="37">
        <f t="shared" si="73"/>
        <v>8.8873500000000005E-3</v>
      </c>
      <c r="J356" s="32">
        <f t="shared" si="75"/>
        <v>0.13182902500000002</v>
      </c>
      <c r="K356" s="33">
        <f t="shared" si="78"/>
        <v>1.9774353750000001E-2</v>
      </c>
      <c r="L356" s="33"/>
      <c r="O356" s="2">
        <f t="shared" si="79"/>
        <v>2.4687083333333335E-2</v>
      </c>
      <c r="P356" s="2">
        <f t="shared" si="80"/>
        <v>17.774700000000003</v>
      </c>
      <c r="Q356" s="7">
        <f t="shared" si="81"/>
        <v>80.501358695652186</v>
      </c>
      <c r="R356" s="2">
        <v>1.2</v>
      </c>
      <c r="S356" s="2">
        <f t="shared" si="76"/>
        <v>4.45</v>
      </c>
      <c r="T356" s="2"/>
      <c r="U356" s="2"/>
      <c r="Y356" s="8">
        <f t="shared" si="77"/>
        <v>2.8658483695652177</v>
      </c>
    </row>
    <row r="357" spans="1:25" x14ac:dyDescent="0.25">
      <c r="A357" s="34">
        <f t="shared" si="83"/>
        <v>349</v>
      </c>
      <c r="B357" s="35">
        <f t="shared" si="83"/>
        <v>321</v>
      </c>
      <c r="C357" s="42" t="s">
        <v>124</v>
      </c>
      <c r="D357" s="43">
        <v>38</v>
      </c>
      <c r="E357" s="43">
        <v>1</v>
      </c>
      <c r="F357" s="36">
        <f>137436/1000000</f>
        <v>0.137436</v>
      </c>
      <c r="G357" s="36">
        <f t="shared" si="72"/>
        <v>2.7074892000000003E-2</v>
      </c>
      <c r="H357" s="36">
        <f>53360/1000000</f>
        <v>5.3359999999999998E-2</v>
      </c>
      <c r="I357" s="37">
        <f t="shared" si="73"/>
        <v>8.003999999999999E-3</v>
      </c>
      <c r="J357" s="32">
        <f t="shared" si="75"/>
        <v>0.118726</v>
      </c>
      <c r="K357" s="33">
        <f t="shared" si="78"/>
        <v>1.7808899999999999E-2</v>
      </c>
      <c r="L357" s="33"/>
      <c r="O357" s="2">
        <f t="shared" si="79"/>
        <v>2.2233333333333334E-2</v>
      </c>
      <c r="P357" s="2">
        <f t="shared" si="80"/>
        <v>16.008000000000003</v>
      </c>
      <c r="Q357" s="7">
        <f t="shared" si="81"/>
        <v>72.500000000000014</v>
      </c>
      <c r="R357" s="2">
        <v>1.2</v>
      </c>
      <c r="S357" s="2">
        <f t="shared" si="76"/>
        <v>4.45</v>
      </c>
      <c r="T357" s="2"/>
      <c r="U357" s="2"/>
      <c r="Y357" s="8">
        <f t="shared" si="77"/>
        <v>2.581</v>
      </c>
    </row>
    <row r="358" spans="1:25" x14ac:dyDescent="0.25">
      <c r="A358" s="34">
        <f t="shared" si="83"/>
        <v>350</v>
      </c>
      <c r="B358" s="35">
        <f t="shared" si="83"/>
        <v>322</v>
      </c>
      <c r="C358" s="42" t="s">
        <v>124</v>
      </c>
      <c r="D358" s="35">
        <v>38</v>
      </c>
      <c r="E358" s="35">
        <v>2</v>
      </c>
      <c r="F358" s="36">
        <f>137436/1000000</f>
        <v>0.137436</v>
      </c>
      <c r="G358" s="36">
        <f t="shared" si="72"/>
        <v>2.7074892000000003E-2</v>
      </c>
      <c r="H358" s="36">
        <f>53360/1000000</f>
        <v>5.3359999999999998E-2</v>
      </c>
      <c r="I358" s="37">
        <f t="shared" si="73"/>
        <v>8.003999999999999E-3</v>
      </c>
      <c r="J358" s="32">
        <f t="shared" si="75"/>
        <v>0.118726</v>
      </c>
      <c r="K358" s="33">
        <f t="shared" si="78"/>
        <v>1.7808899999999999E-2</v>
      </c>
      <c r="L358" s="33"/>
      <c r="O358" s="2">
        <f t="shared" si="79"/>
        <v>2.2233333333333334E-2</v>
      </c>
      <c r="P358" s="2">
        <f t="shared" si="80"/>
        <v>16.008000000000003</v>
      </c>
      <c r="Q358" s="7">
        <f t="shared" si="81"/>
        <v>72.500000000000014</v>
      </c>
      <c r="R358" s="2">
        <v>1.2</v>
      </c>
      <c r="S358" s="2">
        <f t="shared" si="76"/>
        <v>4.45</v>
      </c>
      <c r="T358" s="2"/>
      <c r="U358" s="2"/>
      <c r="Y358" s="8">
        <f t="shared" si="77"/>
        <v>2.581</v>
      </c>
    </row>
    <row r="359" spans="1:25" x14ac:dyDescent="0.25">
      <c r="A359" s="34">
        <f t="shared" si="83"/>
        <v>351</v>
      </c>
      <c r="B359" s="35">
        <f t="shared" si="83"/>
        <v>323</v>
      </c>
      <c r="C359" s="42" t="s">
        <v>124</v>
      </c>
      <c r="D359" s="43">
        <v>40</v>
      </c>
      <c r="E359" s="43">
        <v>1</v>
      </c>
      <c r="F359" s="36">
        <f>200068/1000000</f>
        <v>0.200068</v>
      </c>
      <c r="G359" s="36">
        <f t="shared" si="72"/>
        <v>3.9413396000000003E-2</v>
      </c>
      <c r="H359" s="36">
        <f>108928/1000000</f>
        <v>0.108928</v>
      </c>
      <c r="I359" s="37">
        <f t="shared" si="73"/>
        <v>1.6339199999999998E-2</v>
      </c>
      <c r="J359" s="32">
        <f t="shared" si="75"/>
        <v>0.24236479999999999</v>
      </c>
      <c r="K359" s="33">
        <f t="shared" si="78"/>
        <v>3.635472E-2</v>
      </c>
      <c r="L359" s="33"/>
      <c r="O359" s="2">
        <f t="shared" si="79"/>
        <v>4.5386666666666665E-2</v>
      </c>
      <c r="P359" s="2">
        <f t="shared" si="80"/>
        <v>32.678400000000003</v>
      </c>
      <c r="Q359" s="7">
        <f t="shared" si="81"/>
        <v>148.00000000000003</v>
      </c>
      <c r="R359" s="2">
        <v>1.2</v>
      </c>
      <c r="S359" s="2">
        <f t="shared" si="76"/>
        <v>4.45</v>
      </c>
      <c r="T359" s="2"/>
      <c r="U359" s="2"/>
      <c r="Y359" s="8">
        <f t="shared" si="77"/>
        <v>5.2687999999999997</v>
      </c>
    </row>
    <row r="360" spans="1:25" x14ac:dyDescent="0.25">
      <c r="A360" s="34">
        <f t="shared" si="83"/>
        <v>352</v>
      </c>
      <c r="B360" s="35">
        <f t="shared" si="83"/>
        <v>324</v>
      </c>
      <c r="C360" s="42" t="s">
        <v>124</v>
      </c>
      <c r="D360" s="35">
        <v>40</v>
      </c>
      <c r="E360" s="35">
        <v>2</v>
      </c>
      <c r="F360" s="36">
        <f>200068/1000000</f>
        <v>0.200068</v>
      </c>
      <c r="G360" s="36">
        <f t="shared" si="72"/>
        <v>3.9413396000000003E-2</v>
      </c>
      <c r="H360" s="36">
        <f>108928/1000000</f>
        <v>0.108928</v>
      </c>
      <c r="I360" s="37">
        <f t="shared" si="73"/>
        <v>1.6339199999999998E-2</v>
      </c>
      <c r="J360" s="32">
        <f t="shared" si="75"/>
        <v>0.24236479999999999</v>
      </c>
      <c r="K360" s="33">
        <f t="shared" si="78"/>
        <v>3.635472E-2</v>
      </c>
      <c r="L360" s="33"/>
      <c r="O360" s="2">
        <f t="shared" si="79"/>
        <v>4.5386666666666665E-2</v>
      </c>
      <c r="P360" s="2">
        <f t="shared" si="80"/>
        <v>32.678400000000003</v>
      </c>
      <c r="Q360" s="7">
        <f t="shared" si="81"/>
        <v>148.00000000000003</v>
      </c>
      <c r="R360" s="2">
        <v>1.2</v>
      </c>
      <c r="S360" s="2">
        <f t="shared" si="76"/>
        <v>4.45</v>
      </c>
      <c r="T360" s="2"/>
      <c r="U360" s="2"/>
      <c r="Y360" s="8">
        <f t="shared" si="77"/>
        <v>5.2687999999999997</v>
      </c>
    </row>
    <row r="361" spans="1:25" x14ac:dyDescent="0.25">
      <c r="A361" s="34">
        <f t="shared" si="83"/>
        <v>353</v>
      </c>
      <c r="B361" s="35">
        <f t="shared" si="83"/>
        <v>325</v>
      </c>
      <c r="C361" s="42" t="s">
        <v>124</v>
      </c>
      <c r="D361" s="35">
        <v>40</v>
      </c>
      <c r="E361" s="35">
        <v>3</v>
      </c>
      <c r="F361" s="36">
        <f>200068/1000000</f>
        <v>0.200068</v>
      </c>
      <c r="G361" s="36">
        <f t="shared" si="72"/>
        <v>3.9413396000000003E-2</v>
      </c>
      <c r="H361" s="36">
        <f>108928/1000000</f>
        <v>0.108928</v>
      </c>
      <c r="I361" s="37">
        <f t="shared" si="73"/>
        <v>1.6339199999999998E-2</v>
      </c>
      <c r="J361" s="32">
        <f t="shared" si="75"/>
        <v>0.24236479999999999</v>
      </c>
      <c r="K361" s="33">
        <f t="shared" si="78"/>
        <v>3.635472E-2</v>
      </c>
      <c r="L361" s="33"/>
      <c r="O361" s="2">
        <f t="shared" si="79"/>
        <v>4.5386666666666665E-2</v>
      </c>
      <c r="P361" s="2">
        <f t="shared" si="80"/>
        <v>32.678400000000003</v>
      </c>
      <c r="Q361" s="7">
        <f t="shared" si="81"/>
        <v>148.00000000000003</v>
      </c>
      <c r="R361" s="2">
        <v>1.2</v>
      </c>
      <c r="S361" s="2">
        <f t="shared" si="76"/>
        <v>4.45</v>
      </c>
      <c r="T361" s="2"/>
      <c r="U361" s="2"/>
      <c r="Y361" s="8">
        <f t="shared" si="77"/>
        <v>5.2687999999999997</v>
      </c>
    </row>
    <row r="362" spans="1:25" x14ac:dyDescent="0.25">
      <c r="A362" s="34">
        <f t="shared" si="83"/>
        <v>354</v>
      </c>
      <c r="B362" s="35">
        <f t="shared" si="83"/>
        <v>326</v>
      </c>
      <c r="C362" s="42" t="s">
        <v>124</v>
      </c>
      <c r="D362" s="43">
        <v>42</v>
      </c>
      <c r="E362" s="43"/>
      <c r="F362" s="36">
        <f>159414/1000000</f>
        <v>0.159414</v>
      </c>
      <c r="G362" s="36">
        <f t="shared" si="72"/>
        <v>3.1404557999999999E-2</v>
      </c>
      <c r="H362" s="36">
        <f>73600/1000000</f>
        <v>7.3599999999999999E-2</v>
      </c>
      <c r="I362" s="37">
        <f t="shared" si="73"/>
        <v>1.1039999999999999E-2</v>
      </c>
      <c r="J362" s="32">
        <f t="shared" si="75"/>
        <v>0.16376000000000002</v>
      </c>
      <c r="K362" s="33">
        <f t="shared" si="78"/>
        <v>2.4564000000000002E-2</v>
      </c>
      <c r="L362" s="33"/>
      <c r="O362" s="2">
        <f t="shared" si="79"/>
        <v>3.0666666666666668E-2</v>
      </c>
      <c r="P362" s="2">
        <f t="shared" si="80"/>
        <v>22.08</v>
      </c>
      <c r="Q362" s="7">
        <f t="shared" si="81"/>
        <v>100</v>
      </c>
      <c r="R362" s="2">
        <v>1.2</v>
      </c>
      <c r="S362" s="2">
        <f t="shared" si="76"/>
        <v>4.45</v>
      </c>
      <c r="T362" s="2"/>
      <c r="U362" s="2"/>
      <c r="Y362" s="8">
        <f t="shared" si="77"/>
        <v>3.56</v>
      </c>
    </row>
    <row r="363" spans="1:25" x14ac:dyDescent="0.25">
      <c r="A363" s="34">
        <f t="shared" si="83"/>
        <v>355</v>
      </c>
      <c r="B363" s="35">
        <f t="shared" si="83"/>
        <v>327</v>
      </c>
      <c r="C363" s="42" t="s">
        <v>124</v>
      </c>
      <c r="D363" s="43">
        <v>44</v>
      </c>
      <c r="E363" s="43"/>
      <c r="F363" s="36">
        <f>165451/1000000</f>
        <v>0.16545099999999999</v>
      </c>
      <c r="G363" s="36">
        <f t="shared" si="72"/>
        <v>3.2593847000000002E-2</v>
      </c>
      <c r="H363" s="36">
        <f>69184/1000000</f>
        <v>6.9183999999999996E-2</v>
      </c>
      <c r="I363" s="37">
        <f t="shared" si="73"/>
        <v>1.0377599999999999E-2</v>
      </c>
      <c r="J363" s="32">
        <f t="shared" si="75"/>
        <v>0.1539344</v>
      </c>
      <c r="K363" s="33">
        <f t="shared" si="78"/>
        <v>2.3090159999999998E-2</v>
      </c>
      <c r="L363" s="33"/>
      <c r="O363" s="2">
        <f t="shared" si="79"/>
        <v>2.8826666666666667E-2</v>
      </c>
      <c r="P363" s="2">
        <f t="shared" si="80"/>
        <v>20.755200000000002</v>
      </c>
      <c r="Q363" s="7">
        <f t="shared" si="81"/>
        <v>94.000000000000014</v>
      </c>
      <c r="R363" s="2">
        <v>1.2</v>
      </c>
      <c r="S363" s="2">
        <f t="shared" si="76"/>
        <v>4.45</v>
      </c>
      <c r="T363" s="2"/>
      <c r="U363" s="2"/>
      <c r="Y363" s="8">
        <f t="shared" si="77"/>
        <v>3.3463999999999996</v>
      </c>
    </row>
    <row r="364" spans="1:25" x14ac:dyDescent="0.25">
      <c r="A364" s="34">
        <f t="shared" si="83"/>
        <v>356</v>
      </c>
      <c r="B364" s="35">
        <f t="shared" si="83"/>
        <v>328</v>
      </c>
      <c r="C364" s="42" t="s">
        <v>124</v>
      </c>
      <c r="D364" s="43">
        <v>45</v>
      </c>
      <c r="E364" s="43">
        <v>1</v>
      </c>
      <c r="F364" s="36">
        <f>206450/1000000</f>
        <v>0.20644999999999999</v>
      </c>
      <c r="G364" s="36">
        <f t="shared" si="72"/>
        <v>4.0670650000000003E-2</v>
      </c>
      <c r="H364" s="36">
        <f>136896/1000000</f>
        <v>0.13689599999999999</v>
      </c>
      <c r="I364" s="37">
        <f t="shared" si="73"/>
        <v>2.0534399999999998E-2</v>
      </c>
      <c r="J364" s="32">
        <f t="shared" si="75"/>
        <v>0.25325759999999997</v>
      </c>
      <c r="K364" s="33">
        <f t="shared" si="78"/>
        <v>3.7988639999999997E-2</v>
      </c>
      <c r="L364" s="33"/>
      <c r="O364" s="2">
        <f t="shared" si="79"/>
        <v>5.704E-2</v>
      </c>
      <c r="P364" s="2">
        <f t="shared" si="80"/>
        <v>41.068799999999996</v>
      </c>
      <c r="Q364" s="7">
        <f t="shared" si="81"/>
        <v>185.99999999999997</v>
      </c>
      <c r="R364" s="2">
        <v>1.2</v>
      </c>
      <c r="S364" s="2">
        <f t="shared" si="76"/>
        <v>3.7</v>
      </c>
      <c r="T364" s="2"/>
      <c r="U364" s="2"/>
      <c r="Y364" s="8">
        <f t="shared" si="77"/>
        <v>5.5055999999999994</v>
      </c>
    </row>
    <row r="365" spans="1:25" x14ac:dyDescent="0.25">
      <c r="A365" s="34">
        <f t="shared" si="83"/>
        <v>357</v>
      </c>
      <c r="B365" s="35">
        <f t="shared" si="83"/>
        <v>329</v>
      </c>
      <c r="C365" s="42" t="s">
        <v>124</v>
      </c>
      <c r="D365" s="35">
        <v>45</v>
      </c>
      <c r="E365" s="35">
        <v>2</v>
      </c>
      <c r="F365" s="36">
        <f>206450/1000000</f>
        <v>0.20644999999999999</v>
      </c>
      <c r="G365" s="36">
        <f t="shared" si="72"/>
        <v>4.0670650000000003E-2</v>
      </c>
      <c r="H365" s="36"/>
      <c r="I365" s="37">
        <f t="shared" si="73"/>
        <v>0</v>
      </c>
      <c r="J365" s="32">
        <f t="shared" si="75"/>
        <v>0</v>
      </c>
      <c r="K365" s="33">
        <f t="shared" si="78"/>
        <v>0</v>
      </c>
      <c r="L365" s="33"/>
      <c r="O365" s="2">
        <f t="shared" si="79"/>
        <v>0</v>
      </c>
      <c r="P365" s="2">
        <f t="shared" si="80"/>
        <v>0</v>
      </c>
      <c r="Q365" s="7">
        <f t="shared" si="81"/>
        <v>0</v>
      </c>
      <c r="R365" s="2">
        <v>1.2</v>
      </c>
      <c r="S365" s="2">
        <f t="shared" si="76"/>
        <v>4.45</v>
      </c>
      <c r="T365" s="2"/>
      <c r="U365" s="2"/>
      <c r="Y365" s="8">
        <f t="shared" si="77"/>
        <v>0</v>
      </c>
    </row>
    <row r="366" spans="1:25" x14ac:dyDescent="0.25">
      <c r="A366" s="34">
        <f t="shared" si="83"/>
        <v>358</v>
      </c>
      <c r="B366" s="35">
        <f t="shared" si="83"/>
        <v>330</v>
      </c>
      <c r="C366" s="42" t="s">
        <v>124</v>
      </c>
      <c r="D366" s="43">
        <v>46</v>
      </c>
      <c r="E366" s="43">
        <v>1</v>
      </c>
      <c r="F366" s="36">
        <f>206450/1000000</f>
        <v>0.20644999999999999</v>
      </c>
      <c r="G366" s="36">
        <f t="shared" si="72"/>
        <v>4.0670650000000003E-2</v>
      </c>
      <c r="H366" s="36">
        <f>117024/1000000</f>
        <v>0.117024</v>
      </c>
      <c r="I366" s="37">
        <f t="shared" si="73"/>
        <v>1.7553599999999999E-2</v>
      </c>
      <c r="J366" s="32">
        <f t="shared" si="75"/>
        <v>0.2164944</v>
      </c>
      <c r="K366" s="33">
        <f t="shared" si="78"/>
        <v>3.2474160000000002E-2</v>
      </c>
      <c r="L366" s="33"/>
      <c r="O366" s="2">
        <f t="shared" si="79"/>
        <v>4.8760000000000005E-2</v>
      </c>
      <c r="P366" s="2">
        <f t="shared" si="80"/>
        <v>35.107200000000006</v>
      </c>
      <c r="Q366" s="7">
        <f t="shared" si="81"/>
        <v>159.00000000000003</v>
      </c>
      <c r="R366" s="2">
        <v>1.2</v>
      </c>
      <c r="S366" s="2">
        <f t="shared" si="76"/>
        <v>3.7</v>
      </c>
      <c r="T366" s="2"/>
      <c r="U366" s="2"/>
      <c r="Y366" s="8">
        <f t="shared" si="77"/>
        <v>4.7064000000000004</v>
      </c>
    </row>
    <row r="367" spans="1:25" x14ac:dyDescent="0.25">
      <c r="A367" s="34">
        <f t="shared" si="83"/>
        <v>359</v>
      </c>
      <c r="B367" s="35">
        <f t="shared" si="83"/>
        <v>331</v>
      </c>
      <c r="C367" s="42" t="s">
        <v>124</v>
      </c>
      <c r="D367" s="35">
        <v>46</v>
      </c>
      <c r="E367" s="35">
        <v>2</v>
      </c>
      <c r="F367" s="36">
        <f>206450/1000000</f>
        <v>0.20644999999999999</v>
      </c>
      <c r="G367" s="36">
        <f t="shared" si="72"/>
        <v>4.0670650000000003E-2</v>
      </c>
      <c r="H367" s="36"/>
      <c r="I367" s="37">
        <f t="shared" si="73"/>
        <v>0</v>
      </c>
      <c r="J367" s="32">
        <f t="shared" si="75"/>
        <v>0</v>
      </c>
      <c r="K367" s="33">
        <f t="shared" si="78"/>
        <v>0</v>
      </c>
      <c r="L367" s="33"/>
      <c r="O367" s="2">
        <f t="shared" si="79"/>
        <v>0</v>
      </c>
      <c r="P367" s="2">
        <f t="shared" si="80"/>
        <v>0</v>
      </c>
      <c r="Q367" s="7">
        <f t="shared" si="81"/>
        <v>0</v>
      </c>
      <c r="R367" s="2">
        <v>1.2</v>
      </c>
      <c r="S367" s="2">
        <f t="shared" si="76"/>
        <v>4.45</v>
      </c>
      <c r="T367" s="2"/>
      <c r="U367" s="2"/>
      <c r="Y367" s="8">
        <f t="shared" si="77"/>
        <v>0</v>
      </c>
    </row>
    <row r="368" spans="1:25" x14ac:dyDescent="0.25">
      <c r="A368" s="34">
        <f t="shared" si="83"/>
        <v>360</v>
      </c>
      <c r="B368" s="35">
        <f t="shared" si="83"/>
        <v>332</v>
      </c>
      <c r="C368" s="42" t="s">
        <v>124</v>
      </c>
      <c r="D368" s="43" t="s">
        <v>132</v>
      </c>
      <c r="E368" s="43"/>
      <c r="F368" s="36">
        <f>162400/1000000</f>
        <v>0.16239999999999999</v>
      </c>
      <c r="G368" s="36">
        <f t="shared" si="72"/>
        <v>3.1992800000000002E-2</v>
      </c>
      <c r="H368" s="36">
        <f>52258/1000000</f>
        <v>5.2257999999999999E-2</v>
      </c>
      <c r="I368" s="37">
        <f t="shared" si="73"/>
        <v>7.8386999999999988E-3</v>
      </c>
      <c r="J368" s="32">
        <f t="shared" si="75"/>
        <v>0.11627405</v>
      </c>
      <c r="K368" s="33">
        <f t="shared" si="78"/>
        <v>1.7441107500000001E-2</v>
      </c>
      <c r="L368" s="33"/>
      <c r="O368" s="2">
        <f t="shared" si="79"/>
        <v>2.1774166666666667E-2</v>
      </c>
      <c r="P368" s="2">
        <f t="shared" si="80"/>
        <v>15.677400000000002</v>
      </c>
      <c r="Q368" s="7">
        <f t="shared" si="81"/>
        <v>71.002717391304358</v>
      </c>
      <c r="R368" s="2">
        <v>1.2</v>
      </c>
      <c r="S368" s="2">
        <f t="shared" si="76"/>
        <v>4.45</v>
      </c>
      <c r="T368" s="2"/>
      <c r="U368" s="2"/>
      <c r="Y368" s="8">
        <f t="shared" si="77"/>
        <v>2.5276967391304348</v>
      </c>
    </row>
    <row r="369" spans="1:25" x14ac:dyDescent="0.25">
      <c r="A369" s="34">
        <f t="shared" si="83"/>
        <v>361</v>
      </c>
      <c r="B369" s="35">
        <f t="shared" si="83"/>
        <v>333</v>
      </c>
      <c r="C369" s="42" t="s">
        <v>124</v>
      </c>
      <c r="D369" s="43" t="s">
        <v>133</v>
      </c>
      <c r="E369" s="43"/>
      <c r="F369" s="36">
        <f>239897/1000000</f>
        <v>0.239897</v>
      </c>
      <c r="G369" s="36">
        <f>F369*0.197</f>
        <v>4.7259709000000004E-2</v>
      </c>
      <c r="H369" s="36">
        <f>75806/1000000</f>
        <v>7.5805999999999998E-2</v>
      </c>
      <c r="I369" s="37">
        <f>H369*0.15</f>
        <v>1.13709E-2</v>
      </c>
      <c r="J369" s="32">
        <f t="shared" si="75"/>
        <v>0.16866834999999999</v>
      </c>
      <c r="K369" s="33">
        <f t="shared" si="78"/>
        <v>2.5300252499999999E-2</v>
      </c>
      <c r="L369" s="33"/>
      <c r="O369" s="2">
        <f t="shared" si="79"/>
        <v>3.1585833333333334E-2</v>
      </c>
      <c r="P369" s="2">
        <f t="shared" si="80"/>
        <v>22.741799999999998</v>
      </c>
      <c r="Q369" s="7">
        <f t="shared" si="81"/>
        <v>102.99728260869564</v>
      </c>
      <c r="R369" s="2">
        <v>1.2</v>
      </c>
      <c r="S369" s="2">
        <f t="shared" si="76"/>
        <v>4.45</v>
      </c>
      <c r="T369" s="2"/>
      <c r="U369" s="2"/>
      <c r="Y369" s="8">
        <f t="shared" si="77"/>
        <v>3.6667032608695651</v>
      </c>
    </row>
    <row r="370" spans="1:25" x14ac:dyDescent="0.25">
      <c r="A370" s="34">
        <f t="shared" si="83"/>
        <v>362</v>
      </c>
      <c r="B370" s="35">
        <f t="shared" si="83"/>
        <v>334</v>
      </c>
      <c r="C370" s="42" t="s">
        <v>124</v>
      </c>
      <c r="D370" s="43">
        <v>47</v>
      </c>
      <c r="E370" s="43">
        <v>1</v>
      </c>
      <c r="F370" s="36">
        <f>206450/1000000</f>
        <v>0.20644999999999999</v>
      </c>
      <c r="G370" s="36">
        <f>F370*0.197</f>
        <v>4.0670650000000003E-2</v>
      </c>
      <c r="H370" s="36">
        <f>128064/1000000</f>
        <v>0.12806400000000001</v>
      </c>
      <c r="I370" s="37">
        <f>H370*0.15</f>
        <v>1.92096E-2</v>
      </c>
      <c r="J370" s="32">
        <f t="shared" si="75"/>
        <v>0.23691840000000003</v>
      </c>
      <c r="K370" s="33">
        <f t="shared" si="78"/>
        <v>3.5537760000000002E-2</v>
      </c>
      <c r="L370" s="33"/>
      <c r="O370" s="2">
        <f t="shared" si="79"/>
        <v>5.3360000000000005E-2</v>
      </c>
      <c r="P370" s="2">
        <f t="shared" si="80"/>
        <v>38.419200000000004</v>
      </c>
      <c r="Q370" s="7">
        <f t="shared" si="81"/>
        <v>174.00000000000003</v>
      </c>
      <c r="R370" s="2">
        <v>1.2</v>
      </c>
      <c r="S370" s="2">
        <f t="shared" si="76"/>
        <v>3.7</v>
      </c>
      <c r="T370" s="2"/>
      <c r="U370" s="2"/>
      <c r="Y370" s="8">
        <f t="shared" si="77"/>
        <v>5.1504000000000003</v>
      </c>
    </row>
    <row r="371" spans="1:25" x14ac:dyDescent="0.25">
      <c r="A371" s="34">
        <f t="shared" si="83"/>
        <v>363</v>
      </c>
      <c r="B371" s="35">
        <f t="shared" si="83"/>
        <v>335</v>
      </c>
      <c r="C371" s="42" t="s">
        <v>124</v>
      </c>
      <c r="D371" s="35">
        <v>47</v>
      </c>
      <c r="E371" s="35">
        <v>2</v>
      </c>
      <c r="F371" s="36">
        <f>206450/1000000</f>
        <v>0.20644999999999999</v>
      </c>
      <c r="G371" s="36">
        <f>F371*0.197</f>
        <v>4.0670650000000003E-2</v>
      </c>
      <c r="H371" s="36"/>
      <c r="I371" s="37">
        <f>H371*0.15</f>
        <v>0</v>
      </c>
      <c r="J371" s="32">
        <f t="shared" si="75"/>
        <v>0</v>
      </c>
      <c r="K371" s="33">
        <f t="shared" si="78"/>
        <v>0</v>
      </c>
      <c r="L371" s="33"/>
      <c r="O371" s="2">
        <f t="shared" si="79"/>
        <v>0</v>
      </c>
      <c r="P371" s="2">
        <f t="shared" si="80"/>
        <v>0</v>
      </c>
      <c r="Q371" s="7">
        <f t="shared" si="81"/>
        <v>0</v>
      </c>
      <c r="R371" s="2">
        <v>1.2</v>
      </c>
      <c r="S371" s="2">
        <f t="shared" si="76"/>
        <v>4.45</v>
      </c>
      <c r="T371" s="2"/>
      <c r="U371" s="2"/>
      <c r="Y371" s="8">
        <f t="shared" si="77"/>
        <v>0</v>
      </c>
    </row>
    <row r="372" spans="1:25" x14ac:dyDescent="0.25">
      <c r="A372" s="34">
        <f t="shared" ref="A372:A387" si="84">A371+1</f>
        <v>364</v>
      </c>
      <c r="B372" s="35"/>
      <c r="C372" s="40" t="s">
        <v>134</v>
      </c>
      <c r="D372" s="35">
        <v>9</v>
      </c>
      <c r="E372" s="35"/>
      <c r="F372" s="36">
        <f>214961/1000000</f>
        <v>0.21496100000000001</v>
      </c>
      <c r="G372" s="36">
        <f t="shared" ref="G372:G381" si="85">F372*0.197</f>
        <v>4.2347317000000002E-2</v>
      </c>
      <c r="H372" s="36">
        <f>69182/1000000</f>
        <v>6.9181999999999994E-2</v>
      </c>
      <c r="I372" s="37">
        <f t="shared" ref="I372:I381" si="86">H372*0.15</f>
        <v>1.0377299999999999E-2</v>
      </c>
      <c r="J372" s="32">
        <f t="shared" si="75"/>
        <v>0.15392994999999998</v>
      </c>
      <c r="K372" s="33">
        <f t="shared" si="78"/>
        <v>2.3089492499999996E-2</v>
      </c>
      <c r="L372" s="33"/>
      <c r="O372" s="2">
        <f t="shared" si="79"/>
        <v>2.8825833333333332E-2</v>
      </c>
      <c r="P372" s="2">
        <f t="shared" si="80"/>
        <v>20.7546</v>
      </c>
      <c r="Q372" s="7">
        <f t="shared" si="81"/>
        <v>93.997282608695656</v>
      </c>
      <c r="R372" s="2">
        <v>1.2</v>
      </c>
      <c r="S372" s="2">
        <f t="shared" si="76"/>
        <v>4.45</v>
      </c>
      <c r="T372" s="2"/>
      <c r="U372" s="2"/>
      <c r="Y372" s="8">
        <f t="shared" si="77"/>
        <v>3.3463032608695649</v>
      </c>
    </row>
    <row r="373" spans="1:25" x14ac:dyDescent="0.25">
      <c r="A373" s="34">
        <f t="shared" si="84"/>
        <v>365</v>
      </c>
      <c r="B373" s="35"/>
      <c r="C373" s="40" t="s">
        <v>134</v>
      </c>
      <c r="D373" s="35">
        <v>10</v>
      </c>
      <c r="E373" s="35"/>
      <c r="F373" s="36">
        <f>212628/1000000</f>
        <v>0.21262800000000001</v>
      </c>
      <c r="G373" s="36">
        <f t="shared" si="85"/>
        <v>4.1887716000000005E-2</v>
      </c>
      <c r="H373" s="36">
        <f>69920/1000000</f>
        <v>6.9919999999999996E-2</v>
      </c>
      <c r="I373" s="37">
        <f t="shared" si="86"/>
        <v>1.0487999999999999E-2</v>
      </c>
      <c r="J373" s="32">
        <f t="shared" si="75"/>
        <v>0.15557199999999999</v>
      </c>
      <c r="K373" s="33">
        <f t="shared" si="78"/>
        <v>2.3335799999999997E-2</v>
      </c>
      <c r="L373" s="33"/>
      <c r="O373" s="2">
        <f t="shared" si="79"/>
        <v>2.9133333333333334E-2</v>
      </c>
      <c r="P373" s="2">
        <f t="shared" si="80"/>
        <v>20.976000000000003</v>
      </c>
      <c r="Q373" s="7">
        <f t="shared" si="81"/>
        <v>95.000000000000014</v>
      </c>
      <c r="R373" s="2">
        <v>1.2</v>
      </c>
      <c r="S373" s="2">
        <f t="shared" si="76"/>
        <v>4.45</v>
      </c>
      <c r="T373" s="2"/>
      <c r="U373" s="2"/>
      <c r="Y373" s="8">
        <f t="shared" si="77"/>
        <v>3.3819999999999997</v>
      </c>
    </row>
    <row r="374" spans="1:25" x14ac:dyDescent="0.25">
      <c r="A374" s="34">
        <f t="shared" si="84"/>
        <v>366</v>
      </c>
      <c r="B374" s="35"/>
      <c r="C374" s="40" t="s">
        <v>134</v>
      </c>
      <c r="D374" s="35">
        <v>11</v>
      </c>
      <c r="E374" s="35"/>
      <c r="F374" s="36">
        <f>214768/1000000</f>
        <v>0.21476799999999999</v>
      </c>
      <c r="G374" s="36">
        <f t="shared" si="85"/>
        <v>4.2309295999999996E-2</v>
      </c>
      <c r="H374" s="36">
        <f>73601/1000000</f>
        <v>7.3601E-2</v>
      </c>
      <c r="I374" s="37">
        <f t="shared" si="86"/>
        <v>1.104015E-2</v>
      </c>
      <c r="J374" s="32">
        <f t="shared" si="75"/>
        <v>0.16376222500000001</v>
      </c>
      <c r="K374" s="33">
        <f t="shared" si="78"/>
        <v>2.456433375E-2</v>
      </c>
      <c r="L374" s="33"/>
      <c r="O374" s="2">
        <f t="shared" si="79"/>
        <v>3.0667083333333334E-2</v>
      </c>
      <c r="P374" s="2">
        <f t="shared" si="80"/>
        <v>22.080300000000001</v>
      </c>
      <c r="Q374" s="7">
        <f t="shared" si="81"/>
        <v>100.00135869565219</v>
      </c>
      <c r="R374" s="2">
        <v>1.2</v>
      </c>
      <c r="S374" s="2">
        <f t="shared" si="76"/>
        <v>4.45</v>
      </c>
      <c r="T374" s="2"/>
      <c r="U374" s="2"/>
      <c r="Y374" s="8">
        <f t="shared" si="77"/>
        <v>3.5600483695652176</v>
      </c>
    </row>
    <row r="375" spans="1:25" x14ac:dyDescent="0.25">
      <c r="A375" s="34">
        <f t="shared" si="84"/>
        <v>367</v>
      </c>
      <c r="B375" s="35"/>
      <c r="C375" s="40" t="s">
        <v>134</v>
      </c>
      <c r="D375" s="35">
        <v>12</v>
      </c>
      <c r="E375" s="35"/>
      <c r="F375" s="36">
        <f>224239/1000000</f>
        <v>0.22423899999999999</v>
      </c>
      <c r="G375" s="36">
        <f t="shared" si="85"/>
        <v>4.4175083000000004E-2</v>
      </c>
      <c r="H375" s="36">
        <f>64034/1000000</f>
        <v>6.4033999999999994E-2</v>
      </c>
      <c r="I375" s="37">
        <f t="shared" si="86"/>
        <v>9.6050999999999984E-3</v>
      </c>
      <c r="J375" s="32">
        <f t="shared" si="75"/>
        <v>0.14247564999999998</v>
      </c>
      <c r="K375" s="33">
        <f t="shared" si="78"/>
        <v>2.1371347499999995E-2</v>
      </c>
      <c r="L375" s="33"/>
      <c r="O375" s="2">
        <f t="shared" si="79"/>
        <v>2.6680833333333331E-2</v>
      </c>
      <c r="P375" s="2">
        <f t="shared" si="80"/>
        <v>19.210199999999997</v>
      </c>
      <c r="Q375" s="7">
        <f t="shared" si="81"/>
        <v>87.00271739130433</v>
      </c>
      <c r="R375" s="2">
        <v>1.2</v>
      </c>
      <c r="S375" s="2">
        <f t="shared" si="76"/>
        <v>4.45</v>
      </c>
      <c r="T375" s="2"/>
      <c r="U375" s="2"/>
      <c r="Y375" s="8">
        <f t="shared" si="77"/>
        <v>3.0972967391304342</v>
      </c>
    </row>
    <row r="376" spans="1:25" x14ac:dyDescent="0.25">
      <c r="A376" s="34">
        <f t="shared" si="84"/>
        <v>368</v>
      </c>
      <c r="B376" s="35"/>
      <c r="C376" s="40" t="s">
        <v>134</v>
      </c>
      <c r="D376" s="35">
        <v>13</v>
      </c>
      <c r="E376" s="35"/>
      <c r="F376" s="36">
        <f>158635/1000000</f>
        <v>0.158635</v>
      </c>
      <c r="G376" s="36">
        <f t="shared" si="85"/>
        <v>3.1251095E-2</v>
      </c>
      <c r="H376" s="36">
        <f>56674/1000000</f>
        <v>5.6674000000000002E-2</v>
      </c>
      <c r="I376" s="37">
        <f t="shared" si="86"/>
        <v>8.5010999999999993E-3</v>
      </c>
      <c r="J376" s="32">
        <f t="shared" si="75"/>
        <v>0.12609965000000001</v>
      </c>
      <c r="K376" s="33">
        <f t="shared" si="78"/>
        <v>1.8914947500000001E-2</v>
      </c>
      <c r="L376" s="33"/>
      <c r="O376" s="2">
        <f t="shared" si="79"/>
        <v>2.3614166666666669E-2</v>
      </c>
      <c r="P376" s="2">
        <f t="shared" si="80"/>
        <v>17.002200000000002</v>
      </c>
      <c r="Q376" s="7">
        <f t="shared" si="81"/>
        <v>77.002717391304358</v>
      </c>
      <c r="R376" s="2">
        <v>1.2</v>
      </c>
      <c r="S376" s="2">
        <f t="shared" si="76"/>
        <v>4.45</v>
      </c>
      <c r="T376" s="2"/>
      <c r="U376" s="2"/>
      <c r="Y376" s="8">
        <f t="shared" si="77"/>
        <v>2.7412967391304353</v>
      </c>
    </row>
    <row r="377" spans="1:25" x14ac:dyDescent="0.25">
      <c r="A377" s="34">
        <f t="shared" si="84"/>
        <v>369</v>
      </c>
      <c r="B377" s="35"/>
      <c r="C377" s="40" t="s">
        <v>134</v>
      </c>
      <c r="D377" s="35">
        <v>14</v>
      </c>
      <c r="E377" s="35">
        <v>1</v>
      </c>
      <c r="F377" s="36">
        <f>284589/1000000/2</f>
        <v>0.14229449999999999</v>
      </c>
      <c r="G377" s="36">
        <f t="shared" si="85"/>
        <v>2.80320165E-2</v>
      </c>
      <c r="H377" s="36">
        <f>98623/1000000/2</f>
        <v>4.9311500000000001E-2</v>
      </c>
      <c r="I377" s="37">
        <f t="shared" si="86"/>
        <v>7.3967249999999998E-3</v>
      </c>
      <c r="J377" s="32">
        <f t="shared" si="75"/>
        <v>0.10971808750000001</v>
      </c>
      <c r="K377" s="33">
        <f t="shared" si="78"/>
        <v>1.6457713124999999E-2</v>
      </c>
      <c r="L377" s="33"/>
      <c r="O377" s="2">
        <f t="shared" si="79"/>
        <v>2.0546458333333333E-2</v>
      </c>
      <c r="P377" s="2">
        <f t="shared" si="80"/>
        <v>14.79345</v>
      </c>
      <c r="Q377" s="7">
        <f t="shared" si="81"/>
        <v>66.999320652173921</v>
      </c>
      <c r="R377" s="2">
        <v>1.2</v>
      </c>
      <c r="S377" s="2">
        <f t="shared" si="76"/>
        <v>4.45</v>
      </c>
      <c r="T377" s="2"/>
      <c r="U377" s="2"/>
      <c r="Y377" s="8">
        <f t="shared" si="77"/>
        <v>2.3851758152173912</v>
      </c>
    </row>
    <row r="378" spans="1:25" x14ac:dyDescent="0.25">
      <c r="A378" s="34">
        <f t="shared" si="84"/>
        <v>370</v>
      </c>
      <c r="B378" s="35"/>
      <c r="C378" s="40" t="s">
        <v>134</v>
      </c>
      <c r="D378" s="35">
        <v>14</v>
      </c>
      <c r="E378" s="35">
        <v>2</v>
      </c>
      <c r="F378" s="36">
        <f>284589/1000000/2</f>
        <v>0.14229449999999999</v>
      </c>
      <c r="G378" s="36">
        <f t="shared" si="85"/>
        <v>2.80320165E-2</v>
      </c>
      <c r="H378" s="36">
        <f>98623/1000000/2</f>
        <v>4.9311500000000001E-2</v>
      </c>
      <c r="I378" s="37">
        <f t="shared" si="86"/>
        <v>7.3967249999999998E-3</v>
      </c>
      <c r="J378" s="32">
        <f t="shared" si="75"/>
        <v>0.10971808750000001</v>
      </c>
      <c r="K378" s="33">
        <f t="shared" si="78"/>
        <v>1.6457713124999999E-2</v>
      </c>
      <c r="L378" s="33"/>
      <c r="O378" s="2">
        <f t="shared" si="79"/>
        <v>2.0546458333333333E-2</v>
      </c>
      <c r="P378" s="2">
        <f t="shared" si="80"/>
        <v>14.79345</v>
      </c>
      <c r="Q378" s="7">
        <f t="shared" si="81"/>
        <v>66.999320652173921</v>
      </c>
      <c r="R378" s="2">
        <v>1.2</v>
      </c>
      <c r="S378" s="2">
        <f t="shared" si="76"/>
        <v>4.45</v>
      </c>
      <c r="T378" s="2"/>
      <c r="U378" s="2"/>
      <c r="Y378" s="8">
        <f t="shared" si="77"/>
        <v>2.3851758152173912</v>
      </c>
    </row>
    <row r="379" spans="1:25" x14ac:dyDescent="0.25">
      <c r="A379" s="34">
        <f t="shared" si="84"/>
        <v>371</v>
      </c>
      <c r="B379" s="35"/>
      <c r="C379" s="40" t="s">
        <v>134</v>
      </c>
      <c r="D379" s="35">
        <v>15</v>
      </c>
      <c r="E379" s="35"/>
      <c r="F379" s="36">
        <f>158635/1000000</f>
        <v>0.158635</v>
      </c>
      <c r="G379" s="36">
        <f t="shared" si="85"/>
        <v>3.1251095E-2</v>
      </c>
      <c r="H379" s="36">
        <f>52994/1000000</f>
        <v>5.2993999999999999E-2</v>
      </c>
      <c r="I379" s="37">
        <f t="shared" si="86"/>
        <v>7.9490999999999989E-3</v>
      </c>
      <c r="J379" s="32">
        <f t="shared" si="75"/>
        <v>0.11791165000000001</v>
      </c>
      <c r="K379" s="33">
        <f t="shared" si="78"/>
        <v>1.7686747499999999E-2</v>
      </c>
      <c r="L379" s="33"/>
      <c r="O379" s="2">
        <f t="shared" si="79"/>
        <v>2.2080833333333334E-2</v>
      </c>
      <c r="P379" s="2">
        <f t="shared" si="80"/>
        <v>15.898200000000003</v>
      </c>
      <c r="Q379" s="7">
        <f t="shared" si="81"/>
        <v>72.002717391304358</v>
      </c>
      <c r="R379" s="2">
        <v>1.2</v>
      </c>
      <c r="S379" s="2">
        <f t="shared" si="76"/>
        <v>4.45</v>
      </c>
      <c r="T379" s="2"/>
      <c r="U379" s="2"/>
      <c r="Y379" s="8">
        <f t="shared" si="77"/>
        <v>2.5632967391304349</v>
      </c>
    </row>
    <row r="380" spans="1:25" x14ac:dyDescent="0.25">
      <c r="A380" s="34">
        <f t="shared" si="84"/>
        <v>372</v>
      </c>
      <c r="B380" s="35"/>
      <c r="C380" s="40" t="s">
        <v>134</v>
      </c>
      <c r="D380" s="35">
        <v>16</v>
      </c>
      <c r="E380" s="35"/>
      <c r="F380" s="36">
        <f>227281/1000000</f>
        <v>0.22728100000000001</v>
      </c>
      <c r="G380" s="36">
        <f t="shared" si="85"/>
        <v>4.4774357000000001E-2</v>
      </c>
      <c r="H380" s="36">
        <f>73601/1000000</f>
        <v>7.3601E-2</v>
      </c>
      <c r="I380" s="37">
        <f t="shared" si="86"/>
        <v>1.104015E-2</v>
      </c>
      <c r="J380" s="32">
        <f t="shared" si="75"/>
        <v>0.16376222500000001</v>
      </c>
      <c r="K380" s="33">
        <f t="shared" si="78"/>
        <v>2.456433375E-2</v>
      </c>
      <c r="L380" s="33"/>
      <c r="O380" s="2">
        <f t="shared" si="79"/>
        <v>3.0667083333333334E-2</v>
      </c>
      <c r="P380" s="2">
        <f t="shared" si="80"/>
        <v>22.080300000000001</v>
      </c>
      <c r="Q380" s="7">
        <f t="shared" si="81"/>
        <v>100.00135869565219</v>
      </c>
      <c r="R380" s="2">
        <v>1.2</v>
      </c>
      <c r="S380" s="2">
        <f t="shared" si="76"/>
        <v>4.45</v>
      </c>
      <c r="T380" s="2"/>
      <c r="U380" s="2"/>
      <c r="Y380" s="8">
        <f t="shared" si="77"/>
        <v>3.5600483695652176</v>
      </c>
    </row>
    <row r="381" spans="1:25" x14ac:dyDescent="0.25">
      <c r="A381" s="34">
        <f t="shared" si="84"/>
        <v>373</v>
      </c>
      <c r="B381" s="35"/>
      <c r="C381" s="40" t="s">
        <v>134</v>
      </c>
      <c r="D381" s="35">
        <v>17</v>
      </c>
      <c r="E381" s="35"/>
      <c r="F381" s="36">
        <f>227315/1000000</f>
        <v>0.22731499999999999</v>
      </c>
      <c r="G381" s="36">
        <f t="shared" si="85"/>
        <v>4.4781055E-2</v>
      </c>
      <c r="H381" s="36">
        <f>79486/1000000</f>
        <v>7.9486000000000001E-2</v>
      </c>
      <c r="I381" s="37">
        <f t="shared" si="86"/>
        <v>1.19229E-2</v>
      </c>
      <c r="J381" s="32">
        <f t="shared" si="75"/>
        <v>0.17685635000000005</v>
      </c>
      <c r="K381" s="33">
        <f t="shared" si="78"/>
        <v>2.6528452500000008E-2</v>
      </c>
      <c r="L381" s="33"/>
      <c r="O381" s="2">
        <f t="shared" si="79"/>
        <v>3.3119166666666672E-2</v>
      </c>
      <c r="P381" s="2">
        <f t="shared" si="80"/>
        <v>23.845800000000004</v>
      </c>
      <c r="Q381" s="7">
        <f t="shared" si="81"/>
        <v>107.99728260869567</v>
      </c>
      <c r="R381" s="2">
        <v>1.2</v>
      </c>
      <c r="S381" s="2">
        <f t="shared" si="76"/>
        <v>4.45</v>
      </c>
      <c r="T381" s="2"/>
      <c r="U381" s="2"/>
      <c r="Y381" s="8">
        <f t="shared" si="77"/>
        <v>3.8447032608695664</v>
      </c>
    </row>
    <row r="382" spans="1:25" x14ac:dyDescent="0.25">
      <c r="A382" s="34">
        <f t="shared" si="84"/>
        <v>374</v>
      </c>
      <c r="B382" s="35"/>
      <c r="C382" s="40" t="s">
        <v>134</v>
      </c>
      <c r="D382" s="41" t="s">
        <v>135</v>
      </c>
      <c r="E382" s="35">
        <v>1</v>
      </c>
      <c r="F382" s="36">
        <v>9.1300000000000006E-2</v>
      </c>
      <c r="G382" s="36">
        <v>2.01E-2</v>
      </c>
      <c r="H382" s="36">
        <f>28700/1000000</f>
        <v>2.87E-2</v>
      </c>
      <c r="I382" s="37">
        <v>5.8999999999999999E-3</v>
      </c>
      <c r="J382" s="32">
        <f t="shared" si="75"/>
        <v>6.3857499999999998E-2</v>
      </c>
      <c r="K382" s="33">
        <f t="shared" si="78"/>
        <v>9.5786249999999986E-3</v>
      </c>
      <c r="L382" s="33"/>
      <c r="O382" s="2">
        <f t="shared" si="79"/>
        <v>1.1958333333333333E-2</v>
      </c>
      <c r="P382" s="2">
        <f t="shared" si="80"/>
        <v>8.61</v>
      </c>
      <c r="Q382" s="7">
        <f t="shared" si="81"/>
        <v>38.994565217391305</v>
      </c>
      <c r="R382" s="2">
        <v>1.2</v>
      </c>
      <c r="S382" s="2">
        <f t="shared" si="76"/>
        <v>4.45</v>
      </c>
      <c r="T382" s="2"/>
      <c r="U382" s="2"/>
      <c r="Y382" s="8">
        <f t="shared" si="77"/>
        <v>1.3882065217391304</v>
      </c>
    </row>
    <row r="383" spans="1:25" x14ac:dyDescent="0.25">
      <c r="A383" s="34">
        <f t="shared" si="84"/>
        <v>375</v>
      </c>
      <c r="B383" s="35"/>
      <c r="C383" s="40" t="s">
        <v>134</v>
      </c>
      <c r="D383" s="41" t="s">
        <v>135</v>
      </c>
      <c r="E383" s="35">
        <v>2</v>
      </c>
      <c r="F383" s="36">
        <v>9.2100000000000001E-2</v>
      </c>
      <c r="G383" s="36">
        <v>2.0400000000000001E-2</v>
      </c>
      <c r="H383" s="36">
        <f>28700/1000000</f>
        <v>2.87E-2</v>
      </c>
      <c r="I383" s="37">
        <f t="shared" ref="I383:I401" si="87">H383*0.15</f>
        <v>4.3049999999999998E-3</v>
      </c>
      <c r="J383" s="32">
        <f t="shared" si="75"/>
        <v>6.3857499999999998E-2</v>
      </c>
      <c r="K383" s="33">
        <f t="shared" si="78"/>
        <v>9.5786249999999986E-3</v>
      </c>
      <c r="L383" s="33"/>
      <c r="O383" s="2">
        <f t="shared" si="79"/>
        <v>1.1958333333333333E-2</v>
      </c>
      <c r="P383" s="2">
        <f t="shared" si="80"/>
        <v>8.61</v>
      </c>
      <c r="Q383" s="7">
        <f t="shared" si="81"/>
        <v>38.994565217391305</v>
      </c>
      <c r="R383" s="2">
        <v>1.2</v>
      </c>
      <c r="S383" s="2">
        <f t="shared" si="76"/>
        <v>4.45</v>
      </c>
      <c r="T383" s="2"/>
      <c r="U383" s="2"/>
      <c r="Y383" s="8">
        <f t="shared" si="77"/>
        <v>1.3882065217391304</v>
      </c>
    </row>
    <row r="384" spans="1:25" x14ac:dyDescent="0.25">
      <c r="A384" s="34">
        <f t="shared" si="84"/>
        <v>376</v>
      </c>
      <c r="B384" s="35"/>
      <c r="C384" s="40" t="s">
        <v>134</v>
      </c>
      <c r="D384" s="41" t="s">
        <v>135</v>
      </c>
      <c r="E384" s="35">
        <v>3</v>
      </c>
      <c r="F384" s="36">
        <f>80795/1000000</f>
        <v>8.0795000000000006E-2</v>
      </c>
      <c r="G384" s="36">
        <f t="shared" ref="G384:G412" si="88">F384*0.197</f>
        <v>1.5916615000000002E-2</v>
      </c>
      <c r="H384" s="36">
        <f>28700/1000000</f>
        <v>2.87E-2</v>
      </c>
      <c r="I384" s="37">
        <f t="shared" si="87"/>
        <v>4.3049999999999998E-3</v>
      </c>
      <c r="J384" s="32">
        <f t="shared" si="75"/>
        <v>6.3857499999999998E-2</v>
      </c>
      <c r="K384" s="33">
        <f t="shared" si="78"/>
        <v>9.5786249999999986E-3</v>
      </c>
      <c r="L384" s="33"/>
      <c r="O384" s="2">
        <f t="shared" si="79"/>
        <v>1.1958333333333333E-2</v>
      </c>
      <c r="P384" s="2">
        <f t="shared" si="80"/>
        <v>8.61</v>
      </c>
      <c r="Q384" s="7">
        <f t="shared" si="81"/>
        <v>38.994565217391305</v>
      </c>
      <c r="R384" s="2">
        <v>1.2</v>
      </c>
      <c r="S384" s="2">
        <f t="shared" si="76"/>
        <v>4.45</v>
      </c>
      <c r="T384" s="2"/>
      <c r="U384" s="2"/>
      <c r="Y384" s="8">
        <f t="shared" si="77"/>
        <v>1.3882065217391304</v>
      </c>
    </row>
    <row r="385" spans="1:25" x14ac:dyDescent="0.25">
      <c r="A385" s="34">
        <f t="shared" si="84"/>
        <v>377</v>
      </c>
      <c r="B385" s="35"/>
      <c r="C385" s="40" t="s">
        <v>134</v>
      </c>
      <c r="D385" s="41" t="s">
        <v>62</v>
      </c>
      <c r="E385" s="35"/>
      <c r="F385" s="36">
        <f>232021/1000000</f>
        <v>0.23202100000000001</v>
      </c>
      <c r="G385" s="36">
        <f t="shared" si="88"/>
        <v>4.5708137000000003E-2</v>
      </c>
      <c r="H385" s="36">
        <f>83904/1000000</f>
        <v>8.3904000000000006E-2</v>
      </c>
      <c r="I385" s="37">
        <f t="shared" si="87"/>
        <v>1.2585600000000001E-2</v>
      </c>
      <c r="J385" s="32">
        <f t="shared" si="75"/>
        <v>0.18668640000000003</v>
      </c>
      <c r="K385" s="33">
        <f t="shared" si="78"/>
        <v>2.8002960000000004E-2</v>
      </c>
      <c r="L385" s="33"/>
      <c r="O385" s="2">
        <f t="shared" si="79"/>
        <v>3.4960000000000005E-2</v>
      </c>
      <c r="P385" s="2">
        <f t="shared" si="80"/>
        <v>25.171200000000002</v>
      </c>
      <c r="Q385" s="7">
        <f t="shared" si="81"/>
        <v>114.00000000000001</v>
      </c>
      <c r="R385" s="2">
        <v>1.2</v>
      </c>
      <c r="S385" s="2">
        <f t="shared" si="76"/>
        <v>4.45</v>
      </c>
      <c r="T385" s="2"/>
      <c r="U385" s="2"/>
      <c r="Y385" s="8">
        <f t="shared" si="77"/>
        <v>4.0584000000000007</v>
      </c>
    </row>
    <row r="386" spans="1:25" x14ac:dyDescent="0.25">
      <c r="A386" s="34">
        <f t="shared" si="84"/>
        <v>378</v>
      </c>
      <c r="B386" s="35"/>
      <c r="C386" s="40" t="s">
        <v>134</v>
      </c>
      <c r="D386" s="41" t="s">
        <v>95</v>
      </c>
      <c r="E386" s="35"/>
      <c r="F386" s="36">
        <f>232021/1000000</f>
        <v>0.23202100000000001</v>
      </c>
      <c r="G386" s="36">
        <f t="shared" si="88"/>
        <v>4.5708137000000003E-2</v>
      </c>
      <c r="H386" s="36">
        <f>78017/1000000</f>
        <v>7.8017000000000003E-2</v>
      </c>
      <c r="I386" s="37">
        <f t="shared" si="87"/>
        <v>1.1702550000000001E-2</v>
      </c>
      <c r="J386" s="32">
        <f t="shared" si="75"/>
        <v>0.17358782500000006</v>
      </c>
      <c r="K386" s="33">
        <f t="shared" si="78"/>
        <v>2.6038173750000008E-2</v>
      </c>
      <c r="L386" s="33"/>
      <c r="O386" s="2">
        <f t="shared" si="79"/>
        <v>3.2507083333333339E-2</v>
      </c>
      <c r="P386" s="2">
        <f t="shared" si="80"/>
        <v>23.405100000000004</v>
      </c>
      <c r="Q386" s="7">
        <f t="shared" si="81"/>
        <v>106.0013586956522</v>
      </c>
      <c r="R386" s="2">
        <v>1.2</v>
      </c>
      <c r="S386" s="2">
        <f t="shared" si="76"/>
        <v>4.45</v>
      </c>
      <c r="T386" s="2"/>
      <c r="U386" s="2"/>
      <c r="Y386" s="8">
        <f t="shared" si="77"/>
        <v>3.773648369565219</v>
      </c>
    </row>
    <row r="387" spans="1:25" x14ac:dyDescent="0.25">
      <c r="A387" s="34">
        <f t="shared" si="84"/>
        <v>379</v>
      </c>
      <c r="B387" s="35"/>
      <c r="C387" s="40" t="s">
        <v>134</v>
      </c>
      <c r="D387" s="41" t="s">
        <v>96</v>
      </c>
      <c r="E387" s="35">
        <v>1</v>
      </c>
      <c r="F387" s="36">
        <f>426240/1000000/2</f>
        <v>0.21312</v>
      </c>
      <c r="G387" s="36">
        <f t="shared" si="88"/>
        <v>4.1984640000000004E-2</v>
      </c>
      <c r="H387" s="36">
        <f>173698/1000000/2</f>
        <v>8.6848999999999996E-2</v>
      </c>
      <c r="I387" s="37">
        <f t="shared" si="87"/>
        <v>1.3027349999999998E-2</v>
      </c>
      <c r="J387" s="32">
        <f t="shared" si="75"/>
        <v>0.19323902500000001</v>
      </c>
      <c r="K387" s="33">
        <f t="shared" si="78"/>
        <v>2.8985853749999999E-2</v>
      </c>
      <c r="L387" s="33"/>
      <c r="O387" s="2">
        <f t="shared" si="79"/>
        <v>3.6187083333333335E-2</v>
      </c>
      <c r="P387" s="2">
        <f t="shared" si="80"/>
        <v>26.0547</v>
      </c>
      <c r="Q387" s="7">
        <f t="shared" si="81"/>
        <v>118.00135869565217</v>
      </c>
      <c r="R387" s="2">
        <v>1.2</v>
      </c>
      <c r="S387" s="2">
        <f t="shared" si="76"/>
        <v>4.45</v>
      </c>
      <c r="T387" s="2"/>
      <c r="U387" s="2"/>
      <c r="Y387" s="8">
        <f t="shared" si="77"/>
        <v>4.2008483695652181</v>
      </c>
    </row>
    <row r="388" spans="1:25" x14ac:dyDescent="0.25">
      <c r="A388" s="34">
        <f t="shared" ref="A388:B411" si="89">A387+1</f>
        <v>380</v>
      </c>
      <c r="B388" s="35"/>
      <c r="C388" s="40" t="s">
        <v>134</v>
      </c>
      <c r="D388" s="41" t="s">
        <v>96</v>
      </c>
      <c r="E388" s="35">
        <v>2</v>
      </c>
      <c r="F388" s="36">
        <f>426240/1000000/2</f>
        <v>0.21312</v>
      </c>
      <c r="G388" s="36">
        <f t="shared" si="88"/>
        <v>4.1984640000000004E-2</v>
      </c>
      <c r="H388" s="36">
        <f>173698/1000000/2</f>
        <v>8.6848999999999996E-2</v>
      </c>
      <c r="I388" s="37">
        <f t="shared" si="87"/>
        <v>1.3027349999999998E-2</v>
      </c>
      <c r="J388" s="32">
        <f t="shared" si="75"/>
        <v>0.19323902500000001</v>
      </c>
      <c r="K388" s="33">
        <f t="shared" si="78"/>
        <v>2.8985853749999999E-2</v>
      </c>
      <c r="L388" s="33"/>
      <c r="O388" s="2">
        <f t="shared" si="79"/>
        <v>3.6187083333333335E-2</v>
      </c>
      <c r="P388" s="2">
        <f t="shared" si="80"/>
        <v>26.0547</v>
      </c>
      <c r="Q388" s="7">
        <f t="shared" si="81"/>
        <v>118.00135869565217</v>
      </c>
      <c r="R388" s="2">
        <v>1.2</v>
      </c>
      <c r="S388" s="2">
        <f t="shared" si="76"/>
        <v>4.45</v>
      </c>
      <c r="T388" s="2"/>
      <c r="U388" s="2"/>
      <c r="Y388" s="8">
        <f t="shared" si="77"/>
        <v>4.2008483695652181</v>
      </c>
    </row>
    <row r="389" spans="1:25" x14ac:dyDescent="0.25">
      <c r="A389" s="34">
        <f t="shared" si="89"/>
        <v>381</v>
      </c>
      <c r="B389" s="35"/>
      <c r="C389" s="40" t="s">
        <v>134</v>
      </c>
      <c r="D389" s="41" t="s">
        <v>33</v>
      </c>
      <c r="E389" s="35">
        <v>1</v>
      </c>
      <c r="F389" s="36">
        <f>426240/1000000/2</f>
        <v>0.21312</v>
      </c>
      <c r="G389" s="36">
        <f t="shared" si="88"/>
        <v>4.1984640000000004E-2</v>
      </c>
      <c r="H389" s="36">
        <f>225953/1000000/2</f>
        <v>0.11297649999999999</v>
      </c>
      <c r="I389" s="37">
        <f t="shared" si="87"/>
        <v>1.6946474999999999E-2</v>
      </c>
      <c r="J389" s="32">
        <f t="shared" si="75"/>
        <v>0.20900652499999997</v>
      </c>
      <c r="K389" s="33">
        <f t="shared" si="78"/>
        <v>3.1350978749999994E-2</v>
      </c>
      <c r="L389" s="33"/>
      <c r="O389" s="2">
        <f t="shared" si="79"/>
        <v>4.7073541666666663E-2</v>
      </c>
      <c r="P389" s="2">
        <f t="shared" si="80"/>
        <v>33.892949999999999</v>
      </c>
      <c r="Q389" s="7">
        <f t="shared" si="81"/>
        <v>153.50067934782609</v>
      </c>
      <c r="R389" s="2">
        <v>1.2</v>
      </c>
      <c r="S389" s="2">
        <f t="shared" si="76"/>
        <v>3.7</v>
      </c>
      <c r="T389" s="2"/>
      <c r="U389" s="2"/>
      <c r="Y389" s="8">
        <f t="shared" si="77"/>
        <v>4.5436201086956514</v>
      </c>
    </row>
    <row r="390" spans="1:25" x14ac:dyDescent="0.25">
      <c r="A390" s="34">
        <f t="shared" si="89"/>
        <v>382</v>
      </c>
      <c r="B390" s="35"/>
      <c r="C390" s="40" t="s">
        <v>134</v>
      </c>
      <c r="D390" s="41" t="s">
        <v>33</v>
      </c>
      <c r="E390" s="35">
        <v>2</v>
      </c>
      <c r="F390" s="36">
        <f>426240/1000000/2</f>
        <v>0.21312</v>
      </c>
      <c r="G390" s="36">
        <f t="shared" si="88"/>
        <v>4.1984640000000004E-2</v>
      </c>
      <c r="H390" s="36">
        <f>225953/1000000/2</f>
        <v>0.11297649999999999</v>
      </c>
      <c r="I390" s="37">
        <f t="shared" si="87"/>
        <v>1.6946474999999999E-2</v>
      </c>
      <c r="J390" s="32">
        <f t="shared" si="75"/>
        <v>0.20900652499999997</v>
      </c>
      <c r="K390" s="33">
        <f t="shared" si="78"/>
        <v>3.1350978749999994E-2</v>
      </c>
      <c r="L390" s="33"/>
      <c r="O390" s="2">
        <f t="shared" si="79"/>
        <v>4.7073541666666663E-2</v>
      </c>
      <c r="P390" s="2">
        <f t="shared" si="80"/>
        <v>33.892949999999999</v>
      </c>
      <c r="Q390" s="7">
        <f t="shared" si="81"/>
        <v>153.50067934782609</v>
      </c>
      <c r="R390" s="2">
        <v>1.2</v>
      </c>
      <c r="S390" s="2">
        <f t="shared" si="76"/>
        <v>3.7</v>
      </c>
      <c r="T390" s="2"/>
      <c r="U390" s="2"/>
      <c r="Y390" s="8">
        <f t="shared" si="77"/>
        <v>4.5436201086956514</v>
      </c>
    </row>
    <row r="391" spans="1:25" x14ac:dyDescent="0.25">
      <c r="A391" s="34">
        <f t="shared" si="89"/>
        <v>383</v>
      </c>
      <c r="B391" s="35"/>
      <c r="C391" s="40" t="s">
        <v>134</v>
      </c>
      <c r="D391" s="41" t="s">
        <v>34</v>
      </c>
      <c r="E391" s="35">
        <v>1</v>
      </c>
      <c r="F391" s="36">
        <f>421489/1000000/2</f>
        <v>0.2107445</v>
      </c>
      <c r="G391" s="36">
        <f t="shared" si="88"/>
        <v>4.15166665E-2</v>
      </c>
      <c r="H391" s="36">
        <f>191586/1000000/2</f>
        <v>9.5793000000000003E-2</v>
      </c>
      <c r="I391" s="37">
        <f t="shared" si="87"/>
        <v>1.436895E-2</v>
      </c>
      <c r="J391" s="32">
        <f t="shared" si="75"/>
        <v>0.21313942500000002</v>
      </c>
      <c r="K391" s="33">
        <f t="shared" si="78"/>
        <v>3.1970913750000003E-2</v>
      </c>
      <c r="L391" s="33"/>
      <c r="O391" s="2">
        <f t="shared" si="79"/>
        <v>3.9913750000000005E-2</v>
      </c>
      <c r="P391" s="2">
        <f t="shared" si="80"/>
        <v>28.737900000000003</v>
      </c>
      <c r="Q391" s="7">
        <f t="shared" si="81"/>
        <v>130.15353260869566</v>
      </c>
      <c r="R391" s="2">
        <v>1.2</v>
      </c>
      <c r="S391" s="2">
        <f t="shared" si="76"/>
        <v>4.45</v>
      </c>
      <c r="T391" s="2"/>
      <c r="U391" s="2"/>
      <c r="Y391" s="8">
        <f t="shared" si="77"/>
        <v>4.6334657608695657</v>
      </c>
    </row>
    <row r="392" spans="1:25" x14ac:dyDescent="0.25">
      <c r="A392" s="34">
        <f t="shared" si="89"/>
        <v>384</v>
      </c>
      <c r="B392" s="35"/>
      <c r="C392" s="40" t="s">
        <v>134</v>
      </c>
      <c r="D392" s="41" t="s">
        <v>34</v>
      </c>
      <c r="E392" s="35">
        <v>2</v>
      </c>
      <c r="F392" s="36">
        <f>421489/1000000/2</f>
        <v>0.2107445</v>
      </c>
      <c r="G392" s="36">
        <f t="shared" si="88"/>
        <v>4.15166665E-2</v>
      </c>
      <c r="H392" s="36">
        <f>191586/1000000/2</f>
        <v>9.5793000000000003E-2</v>
      </c>
      <c r="I392" s="37">
        <f t="shared" si="87"/>
        <v>1.436895E-2</v>
      </c>
      <c r="J392" s="32">
        <f t="shared" si="75"/>
        <v>0.21313942500000002</v>
      </c>
      <c r="K392" s="33">
        <f t="shared" si="78"/>
        <v>3.1970913750000003E-2</v>
      </c>
      <c r="L392" s="33"/>
      <c r="O392" s="2">
        <f t="shared" si="79"/>
        <v>3.9913750000000005E-2</v>
      </c>
      <c r="P392" s="2">
        <f t="shared" si="80"/>
        <v>28.737900000000003</v>
      </c>
      <c r="Q392" s="7">
        <f t="shared" si="81"/>
        <v>130.15353260869566</v>
      </c>
      <c r="R392" s="2">
        <v>1.2</v>
      </c>
      <c r="S392" s="2">
        <f t="shared" si="76"/>
        <v>4.45</v>
      </c>
      <c r="T392" s="2"/>
      <c r="U392" s="2"/>
      <c r="Y392" s="8">
        <f t="shared" si="77"/>
        <v>4.6334657608695657</v>
      </c>
    </row>
    <row r="393" spans="1:25" x14ac:dyDescent="0.25">
      <c r="A393" s="34">
        <f t="shared" si="89"/>
        <v>385</v>
      </c>
      <c r="B393" s="35"/>
      <c r="C393" s="40" t="s">
        <v>134</v>
      </c>
      <c r="D393" s="35">
        <v>25</v>
      </c>
      <c r="E393" s="35">
        <v>1</v>
      </c>
      <c r="F393" s="36">
        <f>415892/1000000/2</f>
        <v>0.20794599999999999</v>
      </c>
      <c r="G393" s="36">
        <f t="shared" si="88"/>
        <v>4.0965361999999998E-2</v>
      </c>
      <c r="H393" s="36">
        <f>149407/1000000/2</f>
        <v>7.4703500000000006E-2</v>
      </c>
      <c r="I393" s="37">
        <f t="shared" si="87"/>
        <v>1.1205525000000001E-2</v>
      </c>
      <c r="J393" s="32">
        <f t="shared" ref="J393:J456" si="90">O393*R393*S393</f>
        <v>0.16621528750000003</v>
      </c>
      <c r="K393" s="33">
        <f t="shared" si="78"/>
        <v>2.4932293125000005E-2</v>
      </c>
      <c r="L393" s="33"/>
      <c r="O393" s="2">
        <f t="shared" si="79"/>
        <v>3.1126458333333336E-2</v>
      </c>
      <c r="P393" s="2">
        <f t="shared" si="80"/>
        <v>22.411050000000003</v>
      </c>
      <c r="Q393" s="7">
        <f t="shared" si="81"/>
        <v>101.49932065217394</v>
      </c>
      <c r="R393" s="2">
        <v>1.2</v>
      </c>
      <c r="S393" s="2">
        <f t="shared" ref="S393:S456" si="91">IF(Q393&lt;=$AE$6,$AF$6,IF(Q393&lt;=$AE$7,$AF$7,IF(Q393&lt;=$AE$8,$AF$8,IF(Q393&lt;=$AE$9,$AF$9,IF(Q393&lt;=$AE$10,$AF$10,0)))))</f>
        <v>4.45</v>
      </c>
      <c r="T393" s="2"/>
      <c r="U393" s="2"/>
      <c r="Y393" s="8">
        <f t="shared" ref="Y393:Y456" si="92">J393/46*1000</f>
        <v>3.6133758152173923</v>
      </c>
    </row>
    <row r="394" spans="1:25" x14ac:dyDescent="0.25">
      <c r="A394" s="34">
        <f t="shared" si="89"/>
        <v>386</v>
      </c>
      <c r="B394" s="35"/>
      <c r="C394" s="40" t="s">
        <v>134</v>
      </c>
      <c r="D394" s="35">
        <v>25</v>
      </c>
      <c r="E394" s="35">
        <v>2</v>
      </c>
      <c r="F394" s="36">
        <f>415892/1000000/2</f>
        <v>0.20794599999999999</v>
      </c>
      <c r="G394" s="36">
        <f t="shared" si="88"/>
        <v>4.0965361999999998E-2</v>
      </c>
      <c r="H394" s="36">
        <f>149407/1000000/2</f>
        <v>7.4703500000000006E-2</v>
      </c>
      <c r="I394" s="37">
        <f t="shared" si="87"/>
        <v>1.1205525000000001E-2</v>
      </c>
      <c r="J394" s="32">
        <f t="shared" si="90"/>
        <v>0.16621528750000003</v>
      </c>
      <c r="K394" s="33">
        <f t="shared" ref="K394:K457" si="93">J394*0.15</f>
        <v>2.4932293125000005E-2</v>
      </c>
      <c r="L394" s="33"/>
      <c r="O394" s="2">
        <f t="shared" si="79"/>
        <v>3.1126458333333336E-2</v>
      </c>
      <c r="P394" s="2">
        <f t="shared" si="80"/>
        <v>22.411050000000003</v>
      </c>
      <c r="Q394" s="7">
        <f t="shared" si="81"/>
        <v>101.49932065217394</v>
      </c>
      <c r="R394" s="2">
        <v>1.2</v>
      </c>
      <c r="S394" s="2">
        <f t="shared" si="91"/>
        <v>4.45</v>
      </c>
      <c r="T394" s="2"/>
      <c r="U394" s="2"/>
      <c r="Y394" s="8">
        <f t="shared" si="92"/>
        <v>3.6133758152173923</v>
      </c>
    </row>
    <row r="395" spans="1:25" x14ac:dyDescent="0.25">
      <c r="A395" s="34">
        <f t="shared" si="89"/>
        <v>387</v>
      </c>
      <c r="B395" s="35"/>
      <c r="C395" s="40" t="s">
        <v>134</v>
      </c>
      <c r="D395" s="35">
        <v>30</v>
      </c>
      <c r="E395" s="35"/>
      <c r="F395" s="36">
        <f>217236/1000000</f>
        <v>0.21723600000000001</v>
      </c>
      <c r="G395" s="36">
        <f t="shared" si="88"/>
        <v>4.2795492000000004E-2</v>
      </c>
      <c r="H395" s="36">
        <f>64766/1000000</f>
        <v>6.4766000000000004E-2</v>
      </c>
      <c r="I395" s="37">
        <f t="shared" si="87"/>
        <v>9.7149000000000003E-3</v>
      </c>
      <c r="J395" s="32">
        <f t="shared" si="90"/>
        <v>0.14410435000000002</v>
      </c>
      <c r="K395" s="33">
        <f t="shared" si="93"/>
        <v>2.1615652500000002E-2</v>
      </c>
      <c r="L395" s="33"/>
      <c r="O395" s="2">
        <f t="shared" ref="O395:O458" si="94">H395/2.4</f>
        <v>2.6985833333333337E-2</v>
      </c>
      <c r="P395" s="2">
        <f t="shared" ref="P395:P458" si="95">O395*24*30</f>
        <v>19.429800000000004</v>
      </c>
      <c r="Q395" s="7">
        <f t="shared" ref="Q395:Q458" si="96">P395/0.2208</f>
        <v>87.99728260869567</v>
      </c>
      <c r="R395" s="2">
        <v>1.2</v>
      </c>
      <c r="S395" s="2">
        <f t="shared" si="91"/>
        <v>4.45</v>
      </c>
      <c r="T395" s="2"/>
      <c r="U395" s="2"/>
      <c r="Y395" s="8">
        <f t="shared" si="92"/>
        <v>3.1327032608695657</v>
      </c>
    </row>
    <row r="396" spans="1:25" x14ac:dyDescent="0.25">
      <c r="A396" s="34">
        <f t="shared" si="89"/>
        <v>388</v>
      </c>
      <c r="B396" s="35"/>
      <c r="C396" s="40" t="s">
        <v>134</v>
      </c>
      <c r="D396" s="35">
        <v>31</v>
      </c>
      <c r="E396" s="35"/>
      <c r="F396" s="36">
        <f>217236/1000000</f>
        <v>0.21723600000000001</v>
      </c>
      <c r="G396" s="36">
        <f t="shared" si="88"/>
        <v>4.2795492000000004E-2</v>
      </c>
      <c r="H396" s="36">
        <f>64768/1000000</f>
        <v>6.4768000000000006E-2</v>
      </c>
      <c r="I396" s="37">
        <f t="shared" si="87"/>
        <v>9.7152000000000002E-3</v>
      </c>
      <c r="J396" s="32">
        <f t="shared" si="90"/>
        <v>0.14410880000000001</v>
      </c>
      <c r="K396" s="33">
        <f t="shared" si="93"/>
        <v>2.1616320000000001E-2</v>
      </c>
      <c r="L396" s="33"/>
      <c r="O396" s="2">
        <f t="shared" si="94"/>
        <v>2.6986666666666669E-2</v>
      </c>
      <c r="P396" s="2">
        <f t="shared" si="95"/>
        <v>19.430400000000002</v>
      </c>
      <c r="Q396" s="7">
        <f t="shared" si="96"/>
        <v>88.000000000000014</v>
      </c>
      <c r="R396" s="2">
        <v>1.2</v>
      </c>
      <c r="S396" s="2">
        <f t="shared" si="91"/>
        <v>4.45</v>
      </c>
      <c r="T396" s="2"/>
      <c r="U396" s="2"/>
      <c r="Y396" s="8">
        <f t="shared" si="92"/>
        <v>3.1328000000000005</v>
      </c>
    </row>
    <row r="397" spans="1:25" x14ac:dyDescent="0.25">
      <c r="A397" s="34">
        <f t="shared" si="89"/>
        <v>389</v>
      </c>
      <c r="B397" s="35"/>
      <c r="C397" s="40" t="s">
        <v>134</v>
      </c>
      <c r="D397" s="35">
        <v>32</v>
      </c>
      <c r="E397" s="35"/>
      <c r="F397" s="36">
        <f>217236/1000000</f>
        <v>0.21723600000000001</v>
      </c>
      <c r="G397" s="36">
        <f t="shared" si="88"/>
        <v>4.2795492000000004E-2</v>
      </c>
      <c r="H397" s="36">
        <f>59616/1000000</f>
        <v>5.9616000000000002E-2</v>
      </c>
      <c r="I397" s="37">
        <f t="shared" si="87"/>
        <v>8.9423999999999997E-3</v>
      </c>
      <c r="J397" s="32">
        <f t="shared" si="90"/>
        <v>0.1326456</v>
      </c>
      <c r="K397" s="33">
        <f t="shared" si="93"/>
        <v>1.9896839999999999E-2</v>
      </c>
      <c r="L397" s="33"/>
      <c r="O397" s="2">
        <f t="shared" si="94"/>
        <v>2.4840000000000001E-2</v>
      </c>
      <c r="P397" s="2">
        <f t="shared" si="95"/>
        <v>17.884800000000002</v>
      </c>
      <c r="Q397" s="7">
        <f t="shared" si="96"/>
        <v>81.000000000000014</v>
      </c>
      <c r="R397" s="2">
        <v>1.2</v>
      </c>
      <c r="S397" s="2">
        <f t="shared" si="91"/>
        <v>4.45</v>
      </c>
      <c r="T397" s="2"/>
      <c r="U397" s="2"/>
      <c r="Y397" s="8">
        <f t="shared" si="92"/>
        <v>2.8835999999999999</v>
      </c>
    </row>
    <row r="398" spans="1:25" x14ac:dyDescent="0.25">
      <c r="A398" s="34">
        <f t="shared" si="89"/>
        <v>390</v>
      </c>
      <c r="B398" s="35"/>
      <c r="C398" s="40" t="s">
        <v>134</v>
      </c>
      <c r="D398" s="35">
        <v>33</v>
      </c>
      <c r="E398" s="35">
        <v>1</v>
      </c>
      <c r="F398" s="36">
        <f>105308/1000000</f>
        <v>0.105308</v>
      </c>
      <c r="G398" s="36">
        <f t="shared" si="88"/>
        <v>2.0745676000000001E-2</v>
      </c>
      <c r="H398" s="36">
        <f>52992/1000000</f>
        <v>5.2991999999999997E-2</v>
      </c>
      <c r="I398" s="37">
        <f t="shared" si="87"/>
        <v>7.9487999999999989E-3</v>
      </c>
      <c r="J398" s="32">
        <f t="shared" si="90"/>
        <v>0.1179072</v>
      </c>
      <c r="K398" s="33">
        <f t="shared" si="93"/>
        <v>1.768608E-2</v>
      </c>
      <c r="L398" s="33"/>
      <c r="O398" s="2">
        <f t="shared" si="94"/>
        <v>2.2079999999999999E-2</v>
      </c>
      <c r="P398" s="2">
        <f t="shared" si="95"/>
        <v>15.897599999999999</v>
      </c>
      <c r="Q398" s="7">
        <f t="shared" si="96"/>
        <v>72</v>
      </c>
      <c r="R398" s="2">
        <v>1.2</v>
      </c>
      <c r="S398" s="2">
        <f t="shared" si="91"/>
        <v>4.45</v>
      </c>
      <c r="T398" s="2"/>
      <c r="U398" s="2"/>
      <c r="Y398" s="8">
        <f t="shared" si="92"/>
        <v>2.5632000000000001</v>
      </c>
    </row>
    <row r="399" spans="1:25" x14ac:dyDescent="0.25">
      <c r="A399" s="34">
        <f t="shared" si="89"/>
        <v>391</v>
      </c>
      <c r="B399" s="35"/>
      <c r="C399" s="40" t="s">
        <v>134</v>
      </c>
      <c r="D399" s="35">
        <v>33</v>
      </c>
      <c r="E399" s="35">
        <v>2</v>
      </c>
      <c r="F399" s="36">
        <f>82183/1000000</f>
        <v>8.2183000000000006E-2</v>
      </c>
      <c r="G399" s="36">
        <f t="shared" si="88"/>
        <v>1.6190051E-2</v>
      </c>
      <c r="H399" s="36">
        <f>47104/1000000</f>
        <v>4.7104E-2</v>
      </c>
      <c r="I399" s="37">
        <f t="shared" si="87"/>
        <v>7.0656E-3</v>
      </c>
      <c r="J399" s="32">
        <f t="shared" si="90"/>
        <v>0.10480640000000001</v>
      </c>
      <c r="K399" s="33">
        <f t="shared" si="93"/>
        <v>1.5720959999999999E-2</v>
      </c>
      <c r="L399" s="33"/>
      <c r="O399" s="2">
        <f t="shared" si="94"/>
        <v>1.9626666666666667E-2</v>
      </c>
      <c r="P399" s="2">
        <f t="shared" si="95"/>
        <v>14.1312</v>
      </c>
      <c r="Q399" s="7">
        <f t="shared" si="96"/>
        <v>64</v>
      </c>
      <c r="R399" s="2">
        <v>1.2</v>
      </c>
      <c r="S399" s="2">
        <f t="shared" si="91"/>
        <v>4.45</v>
      </c>
      <c r="T399" s="2"/>
      <c r="U399" s="2"/>
      <c r="Y399" s="8">
        <f t="shared" si="92"/>
        <v>2.2784000000000004</v>
      </c>
    </row>
    <row r="400" spans="1:25" x14ac:dyDescent="0.25">
      <c r="A400" s="34">
        <f t="shared" si="89"/>
        <v>392</v>
      </c>
      <c r="B400" s="35"/>
      <c r="C400" s="40" t="s">
        <v>134</v>
      </c>
      <c r="D400" s="35">
        <v>33</v>
      </c>
      <c r="E400" s="35">
        <v>3</v>
      </c>
      <c r="F400" s="36">
        <f>96857/1000000</f>
        <v>9.6856999999999999E-2</v>
      </c>
      <c r="G400" s="36">
        <f t="shared" si="88"/>
        <v>1.9080829000000001E-2</v>
      </c>
      <c r="H400" s="36">
        <f>54464/1000000</f>
        <v>5.4463999999999999E-2</v>
      </c>
      <c r="I400" s="37">
        <f t="shared" si="87"/>
        <v>8.1695999999999991E-3</v>
      </c>
      <c r="J400" s="32">
        <f t="shared" si="90"/>
        <v>0.1211824</v>
      </c>
      <c r="K400" s="33">
        <f t="shared" si="93"/>
        <v>1.817736E-2</v>
      </c>
      <c r="L400" s="33"/>
      <c r="O400" s="2">
        <f t="shared" si="94"/>
        <v>2.2693333333333333E-2</v>
      </c>
      <c r="P400" s="2">
        <f t="shared" si="95"/>
        <v>16.339200000000002</v>
      </c>
      <c r="Q400" s="7">
        <f t="shared" si="96"/>
        <v>74.000000000000014</v>
      </c>
      <c r="R400" s="2">
        <v>1.2</v>
      </c>
      <c r="S400" s="2">
        <f t="shared" si="91"/>
        <v>4.45</v>
      </c>
      <c r="T400" s="2"/>
      <c r="U400" s="2"/>
      <c r="Y400" s="8">
        <f t="shared" si="92"/>
        <v>2.6343999999999999</v>
      </c>
    </row>
    <row r="401" spans="1:25" x14ac:dyDescent="0.25">
      <c r="A401" s="34">
        <f t="shared" si="89"/>
        <v>393</v>
      </c>
      <c r="B401" s="35"/>
      <c r="C401" s="40" t="s">
        <v>134</v>
      </c>
      <c r="D401" s="35">
        <v>34</v>
      </c>
      <c r="E401" s="35">
        <v>1</v>
      </c>
      <c r="F401" s="36">
        <f>192876/1000000/2</f>
        <v>9.6437999999999996E-2</v>
      </c>
      <c r="G401" s="36">
        <f t="shared" si="88"/>
        <v>1.8998286E-2</v>
      </c>
      <c r="H401" s="36">
        <f>95680/1000000</f>
        <v>9.5680000000000001E-2</v>
      </c>
      <c r="I401" s="37">
        <f t="shared" si="87"/>
        <v>1.4352E-2</v>
      </c>
      <c r="J401" s="32">
        <f t="shared" si="90"/>
        <v>0.21288800000000002</v>
      </c>
      <c r="K401" s="33">
        <f t="shared" si="93"/>
        <v>3.1933200000000002E-2</v>
      </c>
      <c r="L401" s="33"/>
      <c r="O401" s="2">
        <f t="shared" si="94"/>
        <v>3.9866666666666668E-2</v>
      </c>
      <c r="P401" s="2">
        <f t="shared" si="95"/>
        <v>28.704000000000004</v>
      </c>
      <c r="Q401" s="7">
        <f t="shared" si="96"/>
        <v>130.00000000000003</v>
      </c>
      <c r="R401" s="2">
        <v>1.2</v>
      </c>
      <c r="S401" s="2">
        <f t="shared" si="91"/>
        <v>4.45</v>
      </c>
      <c r="T401" s="2"/>
      <c r="U401" s="2"/>
      <c r="Y401" s="8">
        <f t="shared" si="92"/>
        <v>4.6280000000000001</v>
      </c>
    </row>
    <row r="402" spans="1:25" x14ac:dyDescent="0.25">
      <c r="A402" s="34">
        <f t="shared" si="89"/>
        <v>394</v>
      </c>
      <c r="B402" s="35"/>
      <c r="C402" s="40" t="s">
        <v>134</v>
      </c>
      <c r="D402" s="35">
        <v>34</v>
      </c>
      <c r="E402" s="35">
        <v>2</v>
      </c>
      <c r="F402" s="36">
        <f>192876/1000000/2</f>
        <v>9.6437999999999996E-2</v>
      </c>
      <c r="G402" s="36">
        <f t="shared" si="88"/>
        <v>1.8998286E-2</v>
      </c>
      <c r="H402" s="36"/>
      <c r="I402" s="37"/>
      <c r="J402" s="32">
        <f t="shared" si="90"/>
        <v>0</v>
      </c>
      <c r="K402" s="33">
        <f t="shared" si="93"/>
        <v>0</v>
      </c>
      <c r="L402" s="33"/>
      <c r="O402" s="2">
        <f t="shared" si="94"/>
        <v>0</v>
      </c>
      <c r="P402" s="2">
        <f t="shared" si="95"/>
        <v>0</v>
      </c>
      <c r="Q402" s="7">
        <f t="shared" si="96"/>
        <v>0</v>
      </c>
      <c r="R402" s="2">
        <v>1.2</v>
      </c>
      <c r="S402" s="2">
        <f t="shared" si="91"/>
        <v>4.45</v>
      </c>
      <c r="T402" s="2"/>
      <c r="U402" s="2"/>
      <c r="Y402" s="8">
        <f t="shared" si="92"/>
        <v>0</v>
      </c>
    </row>
    <row r="403" spans="1:25" x14ac:dyDescent="0.25">
      <c r="A403" s="34">
        <f t="shared" si="89"/>
        <v>395</v>
      </c>
      <c r="B403" s="35"/>
      <c r="C403" s="40" t="s">
        <v>134</v>
      </c>
      <c r="D403" s="35">
        <v>36</v>
      </c>
      <c r="E403" s="35">
        <v>1</v>
      </c>
      <c r="F403" s="36">
        <f>360124/1000000/2</f>
        <v>0.180062</v>
      </c>
      <c r="G403" s="36">
        <f t="shared" si="88"/>
        <v>3.5472214000000002E-2</v>
      </c>
      <c r="H403" s="36">
        <f>139841/1000000/2</f>
        <v>6.9920499999999997E-2</v>
      </c>
      <c r="I403" s="37">
        <f t="shared" ref="I403:I412" si="97">H403*0.15</f>
        <v>1.0488074999999999E-2</v>
      </c>
      <c r="J403" s="32">
        <f t="shared" si="90"/>
        <v>0.1555731125</v>
      </c>
      <c r="K403" s="33">
        <f t="shared" si="93"/>
        <v>2.3335966874999999E-2</v>
      </c>
      <c r="L403" s="33"/>
      <c r="O403" s="2">
        <f t="shared" si="94"/>
        <v>2.9133541666666665E-2</v>
      </c>
      <c r="P403" s="2">
        <f t="shared" si="95"/>
        <v>20.976150000000001</v>
      </c>
      <c r="Q403" s="7">
        <f t="shared" si="96"/>
        <v>95.000679347826093</v>
      </c>
      <c r="R403" s="2">
        <v>1.2</v>
      </c>
      <c r="S403" s="2">
        <f t="shared" si="91"/>
        <v>4.45</v>
      </c>
      <c r="T403" s="2"/>
      <c r="U403" s="2"/>
      <c r="Y403" s="8">
        <f t="shared" si="92"/>
        <v>3.3820241847826087</v>
      </c>
    </row>
    <row r="404" spans="1:25" x14ac:dyDescent="0.25">
      <c r="A404" s="34">
        <f t="shared" si="89"/>
        <v>396</v>
      </c>
      <c r="B404" s="35"/>
      <c r="C404" s="40" t="s">
        <v>134</v>
      </c>
      <c r="D404" s="35">
        <v>36</v>
      </c>
      <c r="E404" s="35">
        <v>2</v>
      </c>
      <c r="F404" s="36">
        <f>360124/1000000/2</f>
        <v>0.180062</v>
      </c>
      <c r="G404" s="36">
        <f t="shared" si="88"/>
        <v>3.5472214000000002E-2</v>
      </c>
      <c r="H404" s="36">
        <f>139841/1000000/2</f>
        <v>6.9920499999999997E-2</v>
      </c>
      <c r="I404" s="37">
        <f t="shared" si="97"/>
        <v>1.0488074999999999E-2</v>
      </c>
      <c r="J404" s="32">
        <f t="shared" si="90"/>
        <v>0.1555731125</v>
      </c>
      <c r="K404" s="33">
        <f t="shared" si="93"/>
        <v>2.3335966874999999E-2</v>
      </c>
      <c r="L404" s="33"/>
      <c r="O404" s="2">
        <f t="shared" si="94"/>
        <v>2.9133541666666665E-2</v>
      </c>
      <c r="P404" s="2">
        <f t="shared" si="95"/>
        <v>20.976150000000001</v>
      </c>
      <c r="Q404" s="7">
        <f t="shared" si="96"/>
        <v>95.000679347826093</v>
      </c>
      <c r="R404" s="2">
        <v>1.2</v>
      </c>
      <c r="S404" s="2">
        <f t="shared" si="91"/>
        <v>4.45</v>
      </c>
      <c r="T404" s="2"/>
      <c r="U404" s="2"/>
      <c r="Y404" s="8">
        <f t="shared" si="92"/>
        <v>3.3820241847826087</v>
      </c>
    </row>
    <row r="405" spans="1:25" x14ac:dyDescent="0.25">
      <c r="A405" s="34">
        <f t="shared" si="89"/>
        <v>397</v>
      </c>
      <c r="B405" s="35"/>
      <c r="C405" s="40" t="s">
        <v>134</v>
      </c>
      <c r="D405" s="35">
        <v>37</v>
      </c>
      <c r="E405" s="35">
        <v>1</v>
      </c>
      <c r="F405" s="36">
        <f>358026/1000000/2</f>
        <v>0.17901300000000001</v>
      </c>
      <c r="G405" s="36">
        <f t="shared" si="88"/>
        <v>3.5265561000000001E-2</v>
      </c>
      <c r="H405" s="36">
        <f>123648/1000000/2</f>
        <v>6.1823999999999997E-2</v>
      </c>
      <c r="I405" s="37">
        <f t="shared" si="97"/>
        <v>9.2735999999999999E-3</v>
      </c>
      <c r="J405" s="32">
        <f t="shared" si="90"/>
        <v>0.13755839999999997</v>
      </c>
      <c r="K405" s="33">
        <f t="shared" si="93"/>
        <v>2.0633759999999994E-2</v>
      </c>
      <c r="L405" s="33"/>
      <c r="O405" s="2">
        <f t="shared" si="94"/>
        <v>2.5759999999999998E-2</v>
      </c>
      <c r="P405" s="2">
        <f t="shared" si="95"/>
        <v>18.547199999999997</v>
      </c>
      <c r="Q405" s="7">
        <f t="shared" si="96"/>
        <v>83.999999999999986</v>
      </c>
      <c r="R405" s="2">
        <v>1.2</v>
      </c>
      <c r="S405" s="2">
        <f t="shared" si="91"/>
        <v>4.45</v>
      </c>
      <c r="T405" s="2"/>
      <c r="U405" s="2"/>
      <c r="Y405" s="8">
        <f t="shared" si="92"/>
        <v>2.9903999999999993</v>
      </c>
    </row>
    <row r="406" spans="1:25" x14ac:dyDescent="0.25">
      <c r="A406" s="34">
        <f t="shared" si="89"/>
        <v>398</v>
      </c>
      <c r="B406" s="35"/>
      <c r="C406" s="40" t="s">
        <v>134</v>
      </c>
      <c r="D406" s="35">
        <v>37</v>
      </c>
      <c r="E406" s="35">
        <v>2</v>
      </c>
      <c r="F406" s="36">
        <f>358026/1000000/2</f>
        <v>0.17901300000000001</v>
      </c>
      <c r="G406" s="36">
        <f t="shared" si="88"/>
        <v>3.5265561000000001E-2</v>
      </c>
      <c r="H406" s="36">
        <f>123648/1000000/2</f>
        <v>6.1823999999999997E-2</v>
      </c>
      <c r="I406" s="37">
        <f t="shared" si="97"/>
        <v>9.2735999999999999E-3</v>
      </c>
      <c r="J406" s="32">
        <f t="shared" si="90"/>
        <v>0.13755839999999997</v>
      </c>
      <c r="K406" s="33">
        <f t="shared" si="93"/>
        <v>2.0633759999999994E-2</v>
      </c>
      <c r="L406" s="33"/>
      <c r="O406" s="2">
        <f t="shared" si="94"/>
        <v>2.5759999999999998E-2</v>
      </c>
      <c r="P406" s="2">
        <f t="shared" si="95"/>
        <v>18.547199999999997</v>
      </c>
      <c r="Q406" s="7">
        <f t="shared" si="96"/>
        <v>83.999999999999986</v>
      </c>
      <c r="R406" s="2">
        <v>1.2</v>
      </c>
      <c r="S406" s="2">
        <f t="shared" si="91"/>
        <v>4.45</v>
      </c>
      <c r="T406" s="2"/>
      <c r="U406" s="2"/>
      <c r="Y406" s="8">
        <f t="shared" si="92"/>
        <v>2.9903999999999993</v>
      </c>
    </row>
    <row r="407" spans="1:25" x14ac:dyDescent="0.25">
      <c r="A407" s="34">
        <f t="shared" si="89"/>
        <v>399</v>
      </c>
      <c r="B407" s="35"/>
      <c r="C407" s="40" t="s">
        <v>134</v>
      </c>
      <c r="D407" s="35">
        <v>38</v>
      </c>
      <c r="E407" s="35"/>
      <c r="F407" s="36">
        <f>379766/1000000</f>
        <v>0.37976599999999999</v>
      </c>
      <c r="G407" s="36">
        <f t="shared" si="88"/>
        <v>7.4813902000000002E-2</v>
      </c>
      <c r="H407" s="36">
        <f>122177/1000000</f>
        <v>0.12217699999999999</v>
      </c>
      <c r="I407" s="37">
        <f t="shared" si="97"/>
        <v>1.8326549999999997E-2</v>
      </c>
      <c r="J407" s="32">
        <f t="shared" si="90"/>
        <v>0.22602744999999999</v>
      </c>
      <c r="K407" s="33">
        <f t="shared" si="93"/>
        <v>3.3904117499999997E-2</v>
      </c>
      <c r="L407" s="33"/>
      <c r="O407" s="2">
        <f t="shared" si="94"/>
        <v>5.0907083333333332E-2</v>
      </c>
      <c r="P407" s="2">
        <f t="shared" si="95"/>
        <v>36.653100000000002</v>
      </c>
      <c r="Q407" s="7">
        <f t="shared" si="96"/>
        <v>166.00135869565219</v>
      </c>
      <c r="R407" s="2">
        <v>1.2</v>
      </c>
      <c r="S407" s="2">
        <f t="shared" si="91"/>
        <v>3.7</v>
      </c>
      <c r="T407" s="2"/>
      <c r="U407" s="2"/>
      <c r="Y407" s="8">
        <f t="shared" si="92"/>
        <v>4.9136402173913041</v>
      </c>
    </row>
    <row r="408" spans="1:25" x14ac:dyDescent="0.25">
      <c r="A408" s="34">
        <f t="shared" si="89"/>
        <v>400</v>
      </c>
      <c r="B408" s="35">
        <f>B371+1</f>
        <v>336</v>
      </c>
      <c r="C408" s="40" t="s">
        <v>136</v>
      </c>
      <c r="D408" s="35">
        <v>1</v>
      </c>
      <c r="E408" s="43">
        <v>1</v>
      </c>
      <c r="F408" s="36">
        <f>351963/1000000/2</f>
        <v>0.17598150000000001</v>
      </c>
      <c r="G408" s="36">
        <f t="shared" si="88"/>
        <v>3.4668355500000005E-2</v>
      </c>
      <c r="H408" s="36">
        <f>165600/1000000/2</f>
        <v>8.2799999999999999E-2</v>
      </c>
      <c r="I408" s="37">
        <f t="shared" si="97"/>
        <v>1.2419999999999999E-2</v>
      </c>
      <c r="J408" s="32">
        <f t="shared" si="90"/>
        <v>0.18423</v>
      </c>
      <c r="K408" s="33">
        <f t="shared" si="93"/>
        <v>2.7634499999999999E-2</v>
      </c>
      <c r="L408" s="33"/>
      <c r="O408" s="2">
        <f t="shared" si="94"/>
        <v>3.4500000000000003E-2</v>
      </c>
      <c r="P408" s="2">
        <f t="shared" si="95"/>
        <v>24.840000000000003</v>
      </c>
      <c r="Q408" s="7">
        <f t="shared" si="96"/>
        <v>112.50000000000001</v>
      </c>
      <c r="R408" s="2">
        <v>1.2</v>
      </c>
      <c r="S408" s="2">
        <f t="shared" si="91"/>
        <v>4.45</v>
      </c>
      <c r="T408" s="2"/>
      <c r="U408" s="2"/>
      <c r="Y408" s="8">
        <f t="shared" si="92"/>
        <v>4.0049999999999999</v>
      </c>
    </row>
    <row r="409" spans="1:25" x14ac:dyDescent="0.25">
      <c r="A409" s="34">
        <f t="shared" si="89"/>
        <v>401</v>
      </c>
      <c r="B409" s="35">
        <f>B408+1</f>
        <v>337</v>
      </c>
      <c r="C409" s="40" t="s">
        <v>136</v>
      </c>
      <c r="D409" s="35">
        <v>1</v>
      </c>
      <c r="E409" s="35">
        <v>2</v>
      </c>
      <c r="F409" s="36">
        <f>351963/1000000/2</f>
        <v>0.17598150000000001</v>
      </c>
      <c r="G409" s="36">
        <f t="shared" si="88"/>
        <v>3.4668355500000005E-2</v>
      </c>
      <c r="H409" s="36">
        <f>165600/1000000/2</f>
        <v>8.2799999999999999E-2</v>
      </c>
      <c r="I409" s="37">
        <f t="shared" si="97"/>
        <v>1.2419999999999999E-2</v>
      </c>
      <c r="J409" s="32">
        <f t="shared" si="90"/>
        <v>0.18423</v>
      </c>
      <c r="K409" s="33">
        <f t="shared" si="93"/>
        <v>2.7634499999999999E-2</v>
      </c>
      <c r="L409" s="33"/>
      <c r="O409" s="2">
        <f t="shared" si="94"/>
        <v>3.4500000000000003E-2</v>
      </c>
      <c r="P409" s="2">
        <f t="shared" si="95"/>
        <v>24.840000000000003</v>
      </c>
      <c r="Q409" s="7">
        <f t="shared" si="96"/>
        <v>112.50000000000001</v>
      </c>
      <c r="R409" s="2">
        <v>1.2</v>
      </c>
      <c r="S409" s="2">
        <f t="shared" si="91"/>
        <v>4.45</v>
      </c>
      <c r="T409" s="2"/>
      <c r="U409" s="2"/>
      <c r="Y409" s="8">
        <f t="shared" si="92"/>
        <v>4.0049999999999999</v>
      </c>
    </row>
    <row r="410" spans="1:25" x14ac:dyDescent="0.25">
      <c r="A410" s="34">
        <f t="shared" si="89"/>
        <v>402</v>
      </c>
      <c r="B410" s="35">
        <f>B409+1</f>
        <v>338</v>
      </c>
      <c r="C410" s="40" t="s">
        <v>136</v>
      </c>
      <c r="D410" s="35">
        <v>2</v>
      </c>
      <c r="E410" s="43">
        <v>1</v>
      </c>
      <c r="F410" s="36">
        <f>349842/1000000/2</f>
        <v>0.17492099999999999</v>
      </c>
      <c r="G410" s="36">
        <f t="shared" si="88"/>
        <v>3.4459437000000002E-2</v>
      </c>
      <c r="H410" s="36">
        <f>((162658/1000000)+0.00082)/2</f>
        <v>8.1738999999999992E-2</v>
      </c>
      <c r="I410" s="37">
        <f t="shared" si="97"/>
        <v>1.2260849999999998E-2</v>
      </c>
      <c r="J410" s="32">
        <f t="shared" si="90"/>
        <v>0.181869275</v>
      </c>
      <c r="K410" s="33">
        <f t="shared" si="93"/>
        <v>2.7280391249999997E-2</v>
      </c>
      <c r="L410" s="33"/>
      <c r="O410" s="2">
        <f t="shared" si="94"/>
        <v>3.4057916666666667E-2</v>
      </c>
      <c r="P410" s="2">
        <f t="shared" si="95"/>
        <v>24.521700000000003</v>
      </c>
      <c r="Q410" s="7">
        <f t="shared" si="96"/>
        <v>111.0584239130435</v>
      </c>
      <c r="R410" s="2">
        <v>1.2</v>
      </c>
      <c r="S410" s="2">
        <f t="shared" si="91"/>
        <v>4.45</v>
      </c>
      <c r="T410" s="2"/>
      <c r="U410" s="2"/>
      <c r="Y410" s="8">
        <f t="shared" si="92"/>
        <v>3.9536798913043478</v>
      </c>
    </row>
    <row r="411" spans="1:25" x14ac:dyDescent="0.25">
      <c r="A411" s="34">
        <f t="shared" si="89"/>
        <v>403</v>
      </c>
      <c r="B411" s="35">
        <f t="shared" si="89"/>
        <v>339</v>
      </c>
      <c r="C411" s="40" t="s">
        <v>136</v>
      </c>
      <c r="D411" s="35">
        <v>2</v>
      </c>
      <c r="E411" s="35">
        <v>2</v>
      </c>
      <c r="F411" s="36">
        <f>349842/1000000/2</f>
        <v>0.17492099999999999</v>
      </c>
      <c r="G411" s="36">
        <f t="shared" si="88"/>
        <v>3.4459437000000002E-2</v>
      </c>
      <c r="H411" s="36">
        <f>((162658/1000000)+0.00082)/2</f>
        <v>8.1738999999999992E-2</v>
      </c>
      <c r="I411" s="37">
        <f t="shared" si="97"/>
        <v>1.2260849999999998E-2</v>
      </c>
      <c r="J411" s="32">
        <f t="shared" si="90"/>
        <v>0.181869275</v>
      </c>
      <c r="K411" s="33">
        <f t="shared" si="93"/>
        <v>2.7280391249999997E-2</v>
      </c>
      <c r="L411" s="33"/>
      <c r="O411" s="2">
        <f t="shared" si="94"/>
        <v>3.4057916666666667E-2</v>
      </c>
      <c r="P411" s="2">
        <f t="shared" si="95"/>
        <v>24.521700000000003</v>
      </c>
      <c r="Q411" s="7">
        <f t="shared" si="96"/>
        <v>111.0584239130435</v>
      </c>
      <c r="R411" s="2">
        <v>1.2</v>
      </c>
      <c r="S411" s="2">
        <f t="shared" si="91"/>
        <v>4.45</v>
      </c>
      <c r="T411" s="2"/>
      <c r="U411" s="2"/>
      <c r="Y411" s="8">
        <f t="shared" si="92"/>
        <v>3.9536798913043478</v>
      </c>
    </row>
    <row r="412" spans="1:25" x14ac:dyDescent="0.25">
      <c r="A412" s="34">
        <f t="shared" ref="A412:B427" si="98">A411+1</f>
        <v>404</v>
      </c>
      <c r="B412" s="35">
        <f t="shared" si="98"/>
        <v>340</v>
      </c>
      <c r="C412" s="40" t="s">
        <v>136</v>
      </c>
      <c r="D412" s="35">
        <v>3</v>
      </c>
      <c r="E412" s="43">
        <v>1</v>
      </c>
      <c r="F412" s="36">
        <f>402227/1000000/2</f>
        <v>0.2011135</v>
      </c>
      <c r="G412" s="36">
        <f t="shared" si="88"/>
        <v>3.96193595E-2</v>
      </c>
      <c r="H412" s="36">
        <f>170016/1000000/2</f>
        <v>8.5008E-2</v>
      </c>
      <c r="I412" s="37">
        <f t="shared" si="97"/>
        <v>1.2751199999999999E-2</v>
      </c>
      <c r="J412" s="32">
        <f t="shared" si="90"/>
        <v>0.1891428</v>
      </c>
      <c r="K412" s="33">
        <f t="shared" si="93"/>
        <v>2.8371419999999998E-2</v>
      </c>
      <c r="L412" s="33"/>
      <c r="O412" s="2">
        <f t="shared" si="94"/>
        <v>3.542E-2</v>
      </c>
      <c r="P412" s="2">
        <f t="shared" si="95"/>
        <v>25.502399999999998</v>
      </c>
      <c r="Q412" s="7">
        <f t="shared" si="96"/>
        <v>115.49999999999999</v>
      </c>
      <c r="R412" s="2">
        <v>1.2</v>
      </c>
      <c r="S412" s="2">
        <f t="shared" si="91"/>
        <v>4.45</v>
      </c>
      <c r="T412" s="2"/>
      <c r="U412" s="2"/>
      <c r="Y412" s="8">
        <f t="shared" si="92"/>
        <v>4.1117999999999997</v>
      </c>
    </row>
    <row r="413" spans="1:25" x14ac:dyDescent="0.25">
      <c r="A413" s="34">
        <f t="shared" si="98"/>
        <v>405</v>
      </c>
      <c r="B413" s="35">
        <f t="shared" si="98"/>
        <v>341</v>
      </c>
      <c r="C413" s="40" t="s">
        <v>136</v>
      </c>
      <c r="D413" s="35">
        <v>3</v>
      </c>
      <c r="E413" s="35">
        <v>2</v>
      </c>
      <c r="F413" s="36">
        <v>0.2238</v>
      </c>
      <c r="G413" s="36">
        <v>4.41E-2</v>
      </c>
      <c r="H413" s="36">
        <v>8.5000000000000006E-2</v>
      </c>
      <c r="I413" s="37">
        <v>1.2749999999999999E-2</v>
      </c>
      <c r="J413" s="32">
        <f t="shared" si="90"/>
        <v>0.18912500000000002</v>
      </c>
      <c r="K413" s="33">
        <f t="shared" si="93"/>
        <v>2.8368750000000002E-2</v>
      </c>
      <c r="L413" s="33"/>
      <c r="O413" s="2">
        <f t="shared" si="94"/>
        <v>3.5416666666666673E-2</v>
      </c>
      <c r="P413" s="2">
        <f t="shared" si="95"/>
        <v>25.500000000000004</v>
      </c>
      <c r="Q413" s="7">
        <f t="shared" si="96"/>
        <v>115.48913043478262</v>
      </c>
      <c r="R413" s="2">
        <v>1.2</v>
      </c>
      <c r="S413" s="2">
        <f t="shared" si="91"/>
        <v>4.45</v>
      </c>
      <c r="T413" s="2"/>
      <c r="U413" s="2"/>
      <c r="Y413" s="8">
        <f t="shared" si="92"/>
        <v>4.1114130434782616</v>
      </c>
    </row>
    <row r="414" spans="1:25" x14ac:dyDescent="0.25">
      <c r="A414" s="34">
        <f t="shared" si="98"/>
        <v>406</v>
      </c>
      <c r="B414" s="35">
        <f t="shared" si="98"/>
        <v>342</v>
      </c>
      <c r="C414" s="40" t="s">
        <v>136</v>
      </c>
      <c r="D414" s="43">
        <v>4</v>
      </c>
      <c r="E414" s="43"/>
      <c r="F414" s="36">
        <v>0.21110000000000001</v>
      </c>
      <c r="G414" s="36">
        <v>4.1586700000000004E-2</v>
      </c>
      <c r="H414" s="36">
        <v>8.3199999999999996E-2</v>
      </c>
      <c r="I414" s="37">
        <v>1.248E-2</v>
      </c>
      <c r="J414" s="32">
        <f t="shared" si="90"/>
        <v>0.18512000000000001</v>
      </c>
      <c r="K414" s="33">
        <f t="shared" si="93"/>
        <v>2.7768000000000001E-2</v>
      </c>
      <c r="L414" s="33"/>
      <c r="O414" s="2">
        <f t="shared" si="94"/>
        <v>3.4666666666666665E-2</v>
      </c>
      <c r="P414" s="2">
        <f t="shared" si="95"/>
        <v>24.959999999999997</v>
      </c>
      <c r="Q414" s="7">
        <f t="shared" si="96"/>
        <v>113.04347826086955</v>
      </c>
      <c r="R414" s="2">
        <v>1.2</v>
      </c>
      <c r="S414" s="2">
        <f t="shared" si="91"/>
        <v>4.45</v>
      </c>
      <c r="T414" s="2"/>
      <c r="U414" s="2"/>
      <c r="Y414" s="8">
        <f t="shared" si="92"/>
        <v>4.0243478260869567</v>
      </c>
    </row>
    <row r="415" spans="1:25" x14ac:dyDescent="0.25">
      <c r="A415" s="34">
        <f t="shared" si="98"/>
        <v>407</v>
      </c>
      <c r="B415" s="35">
        <f t="shared" si="98"/>
        <v>343</v>
      </c>
      <c r="C415" s="40" t="s">
        <v>136</v>
      </c>
      <c r="D415" s="43">
        <v>5</v>
      </c>
      <c r="E415" s="43"/>
      <c r="F415" s="36">
        <v>0.21110000000000001</v>
      </c>
      <c r="G415" s="36">
        <v>4.1586700000000004E-2</v>
      </c>
      <c r="H415" s="36">
        <v>8.5199999999999998E-2</v>
      </c>
      <c r="I415" s="37">
        <v>1.278E-2</v>
      </c>
      <c r="J415" s="32">
        <f t="shared" si="90"/>
        <v>0.18957000000000004</v>
      </c>
      <c r="K415" s="33">
        <f t="shared" si="93"/>
        <v>2.8435500000000006E-2</v>
      </c>
      <c r="L415" s="33"/>
      <c r="O415" s="2">
        <f t="shared" si="94"/>
        <v>3.5500000000000004E-2</v>
      </c>
      <c r="P415" s="2">
        <f t="shared" si="95"/>
        <v>25.560000000000002</v>
      </c>
      <c r="Q415" s="7">
        <f t="shared" si="96"/>
        <v>115.7608695652174</v>
      </c>
      <c r="R415" s="2">
        <v>1.2</v>
      </c>
      <c r="S415" s="2">
        <f t="shared" si="91"/>
        <v>4.45</v>
      </c>
      <c r="T415" s="2"/>
      <c r="U415" s="2"/>
      <c r="Y415" s="8">
        <f t="shared" si="92"/>
        <v>4.1210869565217401</v>
      </c>
    </row>
    <row r="416" spans="1:25" x14ac:dyDescent="0.25">
      <c r="A416" s="34">
        <f t="shared" si="98"/>
        <v>408</v>
      </c>
      <c r="B416" s="35">
        <f t="shared" si="98"/>
        <v>344</v>
      </c>
      <c r="C416" s="40" t="s">
        <v>136</v>
      </c>
      <c r="D416" s="43">
        <v>6</v>
      </c>
      <c r="E416" s="43"/>
      <c r="F416" s="36">
        <v>0.1804</v>
      </c>
      <c r="G416" s="36">
        <v>3.5538800000000002E-2</v>
      </c>
      <c r="H416" s="36">
        <v>7.6499999999999999E-2</v>
      </c>
      <c r="I416" s="37">
        <v>1.1474999999999999E-2</v>
      </c>
      <c r="J416" s="32">
        <f t="shared" si="90"/>
        <v>0.17021250000000002</v>
      </c>
      <c r="K416" s="33">
        <f t="shared" si="93"/>
        <v>2.5531875000000002E-2</v>
      </c>
      <c r="L416" s="33"/>
      <c r="O416" s="2">
        <f t="shared" si="94"/>
        <v>3.1875000000000001E-2</v>
      </c>
      <c r="P416" s="2">
        <f t="shared" si="95"/>
        <v>22.95</v>
      </c>
      <c r="Q416" s="7">
        <f t="shared" si="96"/>
        <v>103.94021739130434</v>
      </c>
      <c r="R416" s="2">
        <v>1.2</v>
      </c>
      <c r="S416" s="2">
        <f t="shared" si="91"/>
        <v>4.45</v>
      </c>
      <c r="T416" s="2"/>
      <c r="U416" s="2"/>
      <c r="Y416" s="8">
        <f t="shared" si="92"/>
        <v>3.7002717391304349</v>
      </c>
    </row>
    <row r="417" spans="1:25" x14ac:dyDescent="0.25">
      <c r="A417" s="34">
        <f t="shared" si="98"/>
        <v>409</v>
      </c>
      <c r="B417" s="35">
        <f t="shared" si="98"/>
        <v>345</v>
      </c>
      <c r="C417" s="40" t="s">
        <v>136</v>
      </c>
      <c r="D417" s="43">
        <v>9</v>
      </c>
      <c r="E417" s="43"/>
      <c r="F417" s="36">
        <v>0.18002000000000001</v>
      </c>
      <c r="G417" s="36">
        <v>3.5463940000000006E-2</v>
      </c>
      <c r="H417" s="36">
        <v>9.171E-2</v>
      </c>
      <c r="I417" s="37">
        <v>1.3756500000000001E-2</v>
      </c>
      <c r="J417" s="32">
        <f t="shared" si="90"/>
        <v>0.20405475000000001</v>
      </c>
      <c r="K417" s="33">
        <f t="shared" si="93"/>
        <v>3.0608212499999999E-2</v>
      </c>
      <c r="L417" s="33"/>
      <c r="O417" s="2">
        <f t="shared" si="94"/>
        <v>3.8212500000000003E-2</v>
      </c>
      <c r="P417" s="2">
        <f t="shared" si="95"/>
        <v>27.513000000000002</v>
      </c>
      <c r="Q417" s="7">
        <f t="shared" si="96"/>
        <v>124.60597826086958</v>
      </c>
      <c r="R417" s="2">
        <v>1.2</v>
      </c>
      <c r="S417" s="2">
        <f t="shared" si="91"/>
        <v>4.45</v>
      </c>
      <c r="T417" s="2"/>
      <c r="U417" s="2"/>
      <c r="Y417" s="8">
        <f t="shared" si="92"/>
        <v>4.4359728260869566</v>
      </c>
    </row>
    <row r="418" spans="1:25" x14ac:dyDescent="0.25">
      <c r="A418" s="34">
        <f t="shared" si="98"/>
        <v>410</v>
      </c>
      <c r="B418" s="35">
        <f t="shared" si="98"/>
        <v>346</v>
      </c>
      <c r="C418" s="40" t="s">
        <v>136</v>
      </c>
      <c r="D418" s="43">
        <v>10</v>
      </c>
      <c r="E418" s="43"/>
      <c r="F418" s="36">
        <v>0.18002199999999999</v>
      </c>
      <c r="G418" s="36">
        <v>3.5464334E-2</v>
      </c>
      <c r="H418" s="36">
        <v>8.6846000000000007E-2</v>
      </c>
      <c r="I418" s="37">
        <v>1.3026900000000001E-2</v>
      </c>
      <c r="J418" s="32">
        <f t="shared" si="90"/>
        <v>0.19323235000000005</v>
      </c>
      <c r="K418" s="33">
        <f t="shared" si="93"/>
        <v>2.8984852500000005E-2</v>
      </c>
      <c r="L418" s="33"/>
      <c r="O418" s="2">
        <f t="shared" si="94"/>
        <v>3.6185833333333341E-2</v>
      </c>
      <c r="P418" s="2">
        <f t="shared" si="95"/>
        <v>26.053800000000006</v>
      </c>
      <c r="Q418" s="7">
        <f t="shared" si="96"/>
        <v>117.99728260869568</v>
      </c>
      <c r="R418" s="2">
        <v>1.2</v>
      </c>
      <c r="S418" s="2">
        <f t="shared" si="91"/>
        <v>4.45</v>
      </c>
      <c r="T418" s="2"/>
      <c r="U418" s="2"/>
      <c r="Y418" s="8">
        <f t="shared" si="92"/>
        <v>4.2007032608695667</v>
      </c>
    </row>
    <row r="419" spans="1:25" x14ac:dyDescent="0.25">
      <c r="A419" s="34">
        <f t="shared" si="98"/>
        <v>411</v>
      </c>
      <c r="B419" s="35">
        <f t="shared" si="98"/>
        <v>347</v>
      </c>
      <c r="C419" s="40" t="s">
        <v>136</v>
      </c>
      <c r="D419" s="43">
        <v>11</v>
      </c>
      <c r="E419" s="43"/>
      <c r="F419" s="36">
        <v>0.18002199999999999</v>
      </c>
      <c r="G419" s="36">
        <v>3.5464334E-2</v>
      </c>
      <c r="H419" s="36">
        <v>8.1696000000000005E-2</v>
      </c>
      <c r="I419" s="37">
        <v>1.22544E-2</v>
      </c>
      <c r="J419" s="32">
        <f t="shared" si="90"/>
        <v>0.18177360000000001</v>
      </c>
      <c r="K419" s="33">
        <f t="shared" si="93"/>
        <v>2.7266040000000002E-2</v>
      </c>
      <c r="L419" s="33"/>
      <c r="O419" s="2">
        <f t="shared" si="94"/>
        <v>3.4040000000000001E-2</v>
      </c>
      <c r="P419" s="2">
        <f t="shared" si="95"/>
        <v>24.508800000000001</v>
      </c>
      <c r="Q419" s="7">
        <f t="shared" si="96"/>
        <v>111</v>
      </c>
      <c r="R419" s="2">
        <v>1.2</v>
      </c>
      <c r="S419" s="2">
        <f t="shared" si="91"/>
        <v>4.45</v>
      </c>
      <c r="T419" s="2"/>
      <c r="U419" s="2"/>
      <c r="Y419" s="8">
        <f t="shared" si="92"/>
        <v>3.9516000000000004</v>
      </c>
    </row>
    <row r="420" spans="1:25" x14ac:dyDescent="0.25">
      <c r="A420" s="34">
        <f t="shared" si="98"/>
        <v>412</v>
      </c>
      <c r="B420" s="35">
        <f t="shared" si="98"/>
        <v>348</v>
      </c>
      <c r="C420" s="40" t="s">
        <v>136</v>
      </c>
      <c r="D420" s="43">
        <v>12</v>
      </c>
      <c r="E420" s="43"/>
      <c r="F420" s="36">
        <v>0.18490000000000001</v>
      </c>
      <c r="G420" s="36">
        <v>3.6425300000000001E-2</v>
      </c>
      <c r="H420" s="36">
        <v>8.7599999999999997E-2</v>
      </c>
      <c r="I420" s="37">
        <v>1.3139999999999999E-2</v>
      </c>
      <c r="J420" s="32">
        <f t="shared" si="90"/>
        <v>0.19491</v>
      </c>
      <c r="K420" s="33">
        <f t="shared" si="93"/>
        <v>2.9236499999999999E-2</v>
      </c>
      <c r="L420" s="33"/>
      <c r="O420" s="2">
        <f t="shared" si="94"/>
        <v>3.6499999999999998E-2</v>
      </c>
      <c r="P420" s="2">
        <f t="shared" si="95"/>
        <v>26.279999999999998</v>
      </c>
      <c r="Q420" s="7">
        <f t="shared" si="96"/>
        <v>119.02173913043477</v>
      </c>
      <c r="R420" s="2">
        <v>1.2</v>
      </c>
      <c r="S420" s="2">
        <f t="shared" si="91"/>
        <v>4.45</v>
      </c>
      <c r="T420" s="2"/>
      <c r="U420" s="2"/>
      <c r="Y420" s="8">
        <f t="shared" si="92"/>
        <v>4.2371739130434776</v>
      </c>
    </row>
    <row r="421" spans="1:25" x14ac:dyDescent="0.25">
      <c r="A421" s="34">
        <f t="shared" si="98"/>
        <v>413</v>
      </c>
      <c r="B421" s="35">
        <f t="shared" si="98"/>
        <v>349</v>
      </c>
      <c r="C421" s="40" t="s">
        <v>136</v>
      </c>
      <c r="D421" s="44" t="s">
        <v>89</v>
      </c>
      <c r="E421" s="43"/>
      <c r="F421" s="36">
        <v>0.2162</v>
      </c>
      <c r="G421" s="36">
        <v>4.2591400000000001E-2</v>
      </c>
      <c r="H421" s="36">
        <v>3.5609999999999996E-2</v>
      </c>
      <c r="I421" s="37">
        <v>5.341499999999999E-3</v>
      </c>
      <c r="J421" s="32">
        <f t="shared" si="90"/>
        <v>7.923224999999999E-2</v>
      </c>
      <c r="K421" s="33">
        <f t="shared" si="93"/>
        <v>1.1884837499999999E-2</v>
      </c>
      <c r="L421" s="33"/>
      <c r="O421" s="2">
        <f t="shared" si="94"/>
        <v>1.4837499999999998E-2</v>
      </c>
      <c r="P421" s="2">
        <f t="shared" si="95"/>
        <v>10.683</v>
      </c>
      <c r="Q421" s="7">
        <f t="shared" si="96"/>
        <v>48.383152173913047</v>
      </c>
      <c r="R421" s="2">
        <v>1.2</v>
      </c>
      <c r="S421" s="2">
        <f t="shared" si="91"/>
        <v>4.45</v>
      </c>
      <c r="T421" s="2"/>
      <c r="U421" s="2"/>
      <c r="Y421" s="8">
        <f t="shared" si="92"/>
        <v>1.7224402173913043</v>
      </c>
    </row>
    <row r="422" spans="1:25" x14ac:dyDescent="0.25">
      <c r="A422" s="34">
        <f t="shared" si="98"/>
        <v>414</v>
      </c>
      <c r="B422" s="35">
        <f t="shared" si="98"/>
        <v>350</v>
      </c>
      <c r="C422" s="40" t="s">
        <v>136</v>
      </c>
      <c r="D422" s="44" t="s">
        <v>90</v>
      </c>
      <c r="E422" s="43"/>
      <c r="F422" s="36">
        <v>0.18490000000000001</v>
      </c>
      <c r="G422" s="36">
        <v>3.6425300000000001E-2</v>
      </c>
      <c r="H422" s="36">
        <v>6.6900000000000001E-2</v>
      </c>
      <c r="I422" s="37">
        <v>1.0035000000000001E-2</v>
      </c>
      <c r="J422" s="32">
        <f t="shared" si="90"/>
        <v>0.1488525</v>
      </c>
      <c r="K422" s="33">
        <f t="shared" si="93"/>
        <v>2.2327875E-2</v>
      </c>
      <c r="L422" s="33"/>
      <c r="O422" s="2">
        <f t="shared" si="94"/>
        <v>2.7875E-2</v>
      </c>
      <c r="P422" s="2">
        <f t="shared" si="95"/>
        <v>20.07</v>
      </c>
      <c r="Q422" s="7">
        <f t="shared" si="96"/>
        <v>90.896739130434781</v>
      </c>
      <c r="R422" s="2">
        <v>1.2</v>
      </c>
      <c r="S422" s="2">
        <f t="shared" si="91"/>
        <v>4.45</v>
      </c>
      <c r="T422" s="2"/>
      <c r="U422" s="2"/>
      <c r="Y422" s="8">
        <f t="shared" si="92"/>
        <v>3.2359239130434783</v>
      </c>
    </row>
    <row r="423" spans="1:25" x14ac:dyDescent="0.25">
      <c r="A423" s="34">
        <f t="shared" si="98"/>
        <v>415</v>
      </c>
      <c r="B423" s="35">
        <f t="shared" si="98"/>
        <v>351</v>
      </c>
      <c r="C423" s="40" t="s">
        <v>136</v>
      </c>
      <c r="D423" s="44" t="s">
        <v>91</v>
      </c>
      <c r="E423" s="43"/>
      <c r="F423" s="36">
        <v>0.1769</v>
      </c>
      <c r="G423" s="36">
        <v>3.48493E-2</v>
      </c>
      <c r="H423" s="36">
        <v>5.5899999999999998E-2</v>
      </c>
      <c r="I423" s="37">
        <v>8.3850000000000001E-3</v>
      </c>
      <c r="J423" s="32">
        <f t="shared" si="90"/>
        <v>0.1243775</v>
      </c>
      <c r="K423" s="33">
        <f t="shared" si="93"/>
        <v>1.8656625E-2</v>
      </c>
      <c r="L423" s="33"/>
      <c r="O423" s="2">
        <f t="shared" si="94"/>
        <v>2.3291666666666665E-2</v>
      </c>
      <c r="P423" s="2">
        <f t="shared" si="95"/>
        <v>16.77</v>
      </c>
      <c r="Q423" s="7">
        <f t="shared" si="96"/>
        <v>75.951086956521735</v>
      </c>
      <c r="R423" s="2">
        <v>1.2</v>
      </c>
      <c r="S423" s="2">
        <f t="shared" si="91"/>
        <v>4.45</v>
      </c>
      <c r="T423" s="2"/>
      <c r="U423" s="2"/>
      <c r="Y423" s="8">
        <f t="shared" si="92"/>
        <v>2.703858695652174</v>
      </c>
    </row>
    <row r="424" spans="1:25" x14ac:dyDescent="0.25">
      <c r="A424" s="34">
        <f t="shared" si="98"/>
        <v>416</v>
      </c>
      <c r="B424" s="35">
        <f t="shared" si="98"/>
        <v>352</v>
      </c>
      <c r="C424" s="40" t="s">
        <v>136</v>
      </c>
      <c r="D424" s="44" t="s">
        <v>57</v>
      </c>
      <c r="E424" s="43"/>
      <c r="F424" s="36">
        <v>0.25969999999999999</v>
      </c>
      <c r="G424" s="36">
        <v>5.1160900000000002E-2</v>
      </c>
      <c r="H424" s="36">
        <v>0.13020000000000001</v>
      </c>
      <c r="I424" s="37">
        <v>1.9530000000000002E-2</v>
      </c>
      <c r="J424" s="32">
        <f t="shared" si="90"/>
        <v>0.24087000000000003</v>
      </c>
      <c r="K424" s="33">
        <f t="shared" si="93"/>
        <v>3.6130500000000003E-2</v>
      </c>
      <c r="L424" s="33"/>
      <c r="O424" s="2">
        <f t="shared" si="94"/>
        <v>5.4250000000000007E-2</v>
      </c>
      <c r="P424" s="2">
        <f t="shared" si="95"/>
        <v>39.06</v>
      </c>
      <c r="Q424" s="7">
        <f t="shared" si="96"/>
        <v>176.9021739130435</v>
      </c>
      <c r="R424" s="2">
        <v>1.2</v>
      </c>
      <c r="S424" s="2">
        <f t="shared" si="91"/>
        <v>3.7</v>
      </c>
      <c r="T424" s="2"/>
      <c r="U424" s="2"/>
      <c r="Y424" s="8">
        <f t="shared" si="92"/>
        <v>5.2363043478260876</v>
      </c>
    </row>
    <row r="425" spans="1:25" x14ac:dyDescent="0.25">
      <c r="A425" s="34">
        <f t="shared" si="98"/>
        <v>417</v>
      </c>
      <c r="B425" s="35">
        <f t="shared" si="98"/>
        <v>353</v>
      </c>
      <c r="C425" s="40" t="s">
        <v>136</v>
      </c>
      <c r="D425" s="44" t="s">
        <v>92</v>
      </c>
      <c r="E425" s="43"/>
      <c r="F425" s="36">
        <v>0.2162</v>
      </c>
      <c r="G425" s="36">
        <v>4.2591400000000001E-2</v>
      </c>
      <c r="H425" s="36">
        <v>7.5310000000000002E-2</v>
      </c>
      <c r="I425" s="37">
        <v>1.1296499999999999E-2</v>
      </c>
      <c r="J425" s="32">
        <f t="shared" si="90"/>
        <v>0.16756475000000001</v>
      </c>
      <c r="K425" s="33">
        <f t="shared" si="93"/>
        <v>2.51347125E-2</v>
      </c>
      <c r="L425" s="33"/>
      <c r="O425" s="2">
        <f t="shared" si="94"/>
        <v>3.1379166666666666E-2</v>
      </c>
      <c r="P425" s="2">
        <f t="shared" si="95"/>
        <v>22.593</v>
      </c>
      <c r="Q425" s="7">
        <f t="shared" si="96"/>
        <v>102.32336956521739</v>
      </c>
      <c r="R425" s="2">
        <v>1.2</v>
      </c>
      <c r="S425" s="2">
        <f t="shared" si="91"/>
        <v>4.45</v>
      </c>
      <c r="T425" s="2"/>
      <c r="U425" s="2"/>
      <c r="Y425" s="8">
        <f t="shared" si="92"/>
        <v>3.6427119565217394</v>
      </c>
    </row>
    <row r="426" spans="1:25" x14ac:dyDescent="0.25">
      <c r="A426" s="34">
        <f t="shared" si="98"/>
        <v>418</v>
      </c>
      <c r="B426" s="35">
        <f t="shared" si="98"/>
        <v>354</v>
      </c>
      <c r="C426" s="40" t="s">
        <v>136</v>
      </c>
      <c r="D426" s="44" t="s">
        <v>58</v>
      </c>
      <c r="E426" s="43"/>
      <c r="F426" s="36">
        <v>0.16869999999999999</v>
      </c>
      <c r="G426" s="36">
        <v>3.3233899999999997E-2</v>
      </c>
      <c r="H426" s="36">
        <v>8.3199999999999996E-2</v>
      </c>
      <c r="I426" s="37">
        <v>1.248E-2</v>
      </c>
      <c r="J426" s="32">
        <f t="shared" si="90"/>
        <v>0.18512000000000001</v>
      </c>
      <c r="K426" s="33">
        <f t="shared" si="93"/>
        <v>2.7768000000000001E-2</v>
      </c>
      <c r="L426" s="33"/>
      <c r="O426" s="2">
        <f t="shared" si="94"/>
        <v>3.4666666666666665E-2</v>
      </c>
      <c r="P426" s="2">
        <f t="shared" si="95"/>
        <v>24.959999999999997</v>
      </c>
      <c r="Q426" s="7">
        <f t="shared" si="96"/>
        <v>113.04347826086955</v>
      </c>
      <c r="R426" s="2">
        <v>1.2</v>
      </c>
      <c r="S426" s="2">
        <f t="shared" si="91"/>
        <v>4.45</v>
      </c>
      <c r="T426" s="2"/>
      <c r="U426" s="2"/>
      <c r="Y426" s="8">
        <f t="shared" si="92"/>
        <v>4.0243478260869567</v>
      </c>
    </row>
    <row r="427" spans="1:25" x14ac:dyDescent="0.25">
      <c r="A427" s="34">
        <f t="shared" si="98"/>
        <v>419</v>
      </c>
      <c r="B427" s="35">
        <f t="shared" si="98"/>
        <v>355</v>
      </c>
      <c r="C427" s="40" t="s">
        <v>136</v>
      </c>
      <c r="D427" s="44" t="s">
        <v>94</v>
      </c>
      <c r="E427" s="43"/>
      <c r="F427" s="36">
        <v>0.18820000000000001</v>
      </c>
      <c r="G427" s="36">
        <v>3.7075400000000001E-2</v>
      </c>
      <c r="H427" s="36">
        <v>9.0499999999999997E-2</v>
      </c>
      <c r="I427" s="37">
        <v>1.3574999999999999E-2</v>
      </c>
      <c r="J427" s="32">
        <f t="shared" si="90"/>
        <v>0.20136250000000003</v>
      </c>
      <c r="K427" s="33">
        <f t="shared" si="93"/>
        <v>3.0204375000000002E-2</v>
      </c>
      <c r="L427" s="33"/>
      <c r="O427" s="2">
        <f t="shared" si="94"/>
        <v>3.7708333333333337E-2</v>
      </c>
      <c r="P427" s="2">
        <f t="shared" si="95"/>
        <v>27.150000000000002</v>
      </c>
      <c r="Q427" s="7">
        <f t="shared" si="96"/>
        <v>122.96195652173914</v>
      </c>
      <c r="R427" s="2">
        <v>1.2</v>
      </c>
      <c r="S427" s="2">
        <f t="shared" si="91"/>
        <v>4.45</v>
      </c>
      <c r="T427" s="2"/>
      <c r="U427" s="2"/>
      <c r="Y427" s="8">
        <f t="shared" si="92"/>
        <v>4.3774456521739138</v>
      </c>
    </row>
    <row r="428" spans="1:25" x14ac:dyDescent="0.25">
      <c r="A428" s="34">
        <f t="shared" ref="A428:B443" si="99">A427+1</f>
        <v>420</v>
      </c>
      <c r="B428" s="35">
        <f t="shared" si="99"/>
        <v>356</v>
      </c>
      <c r="C428" s="40" t="s">
        <v>136</v>
      </c>
      <c r="D428" s="44" t="s">
        <v>60</v>
      </c>
      <c r="E428" s="43"/>
      <c r="F428" s="36">
        <v>0.16869999999999999</v>
      </c>
      <c r="G428" s="36">
        <v>3.3233899999999997E-2</v>
      </c>
      <c r="H428" s="36">
        <v>8.9099999999999999E-2</v>
      </c>
      <c r="I428" s="37">
        <v>1.3365E-2</v>
      </c>
      <c r="J428" s="32">
        <f t="shared" si="90"/>
        <v>0.19824749999999999</v>
      </c>
      <c r="K428" s="33">
        <f t="shared" si="93"/>
        <v>2.9737124999999996E-2</v>
      </c>
      <c r="L428" s="33"/>
      <c r="O428" s="2">
        <f t="shared" si="94"/>
        <v>3.7124999999999998E-2</v>
      </c>
      <c r="P428" s="2">
        <f t="shared" si="95"/>
        <v>26.73</v>
      </c>
      <c r="Q428" s="7">
        <f t="shared" si="96"/>
        <v>121.05978260869566</v>
      </c>
      <c r="R428" s="2">
        <v>1.2</v>
      </c>
      <c r="S428" s="2">
        <f t="shared" si="91"/>
        <v>4.45</v>
      </c>
      <c r="T428" s="2"/>
      <c r="U428" s="2"/>
      <c r="Y428" s="8">
        <f t="shared" si="92"/>
        <v>4.3097282608695648</v>
      </c>
    </row>
    <row r="429" spans="1:25" x14ac:dyDescent="0.25">
      <c r="A429" s="34">
        <f t="shared" si="99"/>
        <v>421</v>
      </c>
      <c r="B429" s="35">
        <f t="shared" si="99"/>
        <v>357</v>
      </c>
      <c r="C429" s="40" t="s">
        <v>136</v>
      </c>
      <c r="D429" s="44" t="s">
        <v>61</v>
      </c>
      <c r="E429" s="43"/>
      <c r="F429" s="36">
        <v>0.1464</v>
      </c>
      <c r="G429" s="36">
        <v>2.8840800000000003E-2</v>
      </c>
      <c r="H429" s="36">
        <v>6.1800000000000001E-2</v>
      </c>
      <c r="I429" s="37">
        <v>9.2700000000000005E-3</v>
      </c>
      <c r="J429" s="32">
        <f t="shared" si="90"/>
        <v>0.13750500000000002</v>
      </c>
      <c r="K429" s="33">
        <f t="shared" si="93"/>
        <v>2.0625750000000002E-2</v>
      </c>
      <c r="L429" s="33"/>
      <c r="O429" s="2">
        <f t="shared" si="94"/>
        <v>2.5750000000000002E-2</v>
      </c>
      <c r="P429" s="2">
        <f t="shared" si="95"/>
        <v>18.540000000000003</v>
      </c>
      <c r="Q429" s="7">
        <f t="shared" si="96"/>
        <v>83.967391304347842</v>
      </c>
      <c r="R429" s="2">
        <v>1.2</v>
      </c>
      <c r="S429" s="2">
        <f t="shared" si="91"/>
        <v>4.45</v>
      </c>
      <c r="T429" s="2"/>
      <c r="U429" s="2"/>
      <c r="Y429" s="8">
        <f t="shared" si="92"/>
        <v>2.989239130434783</v>
      </c>
    </row>
    <row r="430" spans="1:25" x14ac:dyDescent="0.25">
      <c r="A430" s="34">
        <f t="shared" si="99"/>
        <v>422</v>
      </c>
      <c r="B430" s="35">
        <f t="shared" si="99"/>
        <v>358</v>
      </c>
      <c r="C430" s="40" t="s">
        <v>136</v>
      </c>
      <c r="D430" s="44" t="s">
        <v>62</v>
      </c>
      <c r="E430" s="43"/>
      <c r="F430" s="36">
        <v>0.17849999999999999</v>
      </c>
      <c r="G430" s="36">
        <v>3.5164500000000001E-2</v>
      </c>
      <c r="H430" s="36">
        <v>7.7299999999999994E-2</v>
      </c>
      <c r="I430" s="37">
        <v>1.1594999999999999E-2</v>
      </c>
      <c r="J430" s="32">
        <f t="shared" si="90"/>
        <v>0.17199249999999999</v>
      </c>
      <c r="K430" s="33">
        <f t="shared" si="93"/>
        <v>2.5798874999999999E-2</v>
      </c>
      <c r="L430" s="33"/>
      <c r="O430" s="2">
        <f t="shared" si="94"/>
        <v>3.2208333333333332E-2</v>
      </c>
      <c r="P430" s="2">
        <f t="shared" si="95"/>
        <v>23.189999999999998</v>
      </c>
      <c r="Q430" s="7">
        <f t="shared" si="96"/>
        <v>105.02717391304347</v>
      </c>
      <c r="R430" s="2">
        <v>1.2</v>
      </c>
      <c r="S430" s="2">
        <f t="shared" si="91"/>
        <v>4.45</v>
      </c>
      <c r="T430" s="2"/>
      <c r="U430" s="2"/>
      <c r="Y430" s="8">
        <f t="shared" si="92"/>
        <v>3.7389673913043477</v>
      </c>
    </row>
    <row r="431" spans="1:25" x14ac:dyDescent="0.25">
      <c r="A431" s="34">
        <f t="shared" si="99"/>
        <v>423</v>
      </c>
      <c r="B431" s="35">
        <f t="shared" si="99"/>
        <v>359</v>
      </c>
      <c r="C431" s="40" t="s">
        <v>136</v>
      </c>
      <c r="D431" s="44" t="s">
        <v>95</v>
      </c>
      <c r="E431" s="43">
        <v>1</v>
      </c>
      <c r="F431" s="36">
        <f>260650/100000/2</f>
        <v>1.30325</v>
      </c>
      <c r="G431" s="36">
        <f t="shared" ref="G431:G436" si="100">F431*0.197</f>
        <v>0.25674025</v>
      </c>
      <c r="H431" s="36">
        <v>0.1104</v>
      </c>
      <c r="I431" s="37">
        <f t="shared" ref="I431:I436" si="101">H431*0.15</f>
        <v>1.6559999999999998E-2</v>
      </c>
      <c r="J431" s="32">
        <f t="shared" si="90"/>
        <v>0.24564</v>
      </c>
      <c r="K431" s="33">
        <f t="shared" si="93"/>
        <v>3.6845999999999997E-2</v>
      </c>
      <c r="L431" s="33"/>
      <c r="O431" s="2">
        <f t="shared" si="94"/>
        <v>4.5999999999999999E-2</v>
      </c>
      <c r="P431" s="2">
        <f t="shared" si="95"/>
        <v>33.120000000000005</v>
      </c>
      <c r="Q431" s="7">
        <f t="shared" si="96"/>
        <v>150.00000000000003</v>
      </c>
      <c r="R431" s="2">
        <v>1.2</v>
      </c>
      <c r="S431" s="2">
        <f t="shared" si="91"/>
        <v>4.45</v>
      </c>
      <c r="T431" s="2"/>
      <c r="U431" s="2"/>
      <c r="Y431" s="8">
        <f t="shared" si="92"/>
        <v>5.34</v>
      </c>
    </row>
    <row r="432" spans="1:25" x14ac:dyDescent="0.25">
      <c r="A432" s="34">
        <f t="shared" si="99"/>
        <v>424</v>
      </c>
      <c r="B432" s="35">
        <f t="shared" si="99"/>
        <v>360</v>
      </c>
      <c r="C432" s="40" t="s">
        <v>136</v>
      </c>
      <c r="D432" s="44" t="s">
        <v>95</v>
      </c>
      <c r="E432" s="43">
        <v>2</v>
      </c>
      <c r="F432" s="36">
        <f>260650/100000/2</f>
        <v>1.30325</v>
      </c>
      <c r="G432" s="36">
        <f t="shared" si="100"/>
        <v>0.25674025</v>
      </c>
      <c r="H432" s="36">
        <v>0.1104</v>
      </c>
      <c r="I432" s="37">
        <f t="shared" si="101"/>
        <v>1.6559999999999998E-2</v>
      </c>
      <c r="J432" s="32">
        <f t="shared" si="90"/>
        <v>0.24564</v>
      </c>
      <c r="K432" s="33">
        <f t="shared" si="93"/>
        <v>3.6845999999999997E-2</v>
      </c>
      <c r="L432" s="33"/>
      <c r="O432" s="2">
        <f t="shared" si="94"/>
        <v>4.5999999999999999E-2</v>
      </c>
      <c r="P432" s="2">
        <f t="shared" si="95"/>
        <v>33.120000000000005</v>
      </c>
      <c r="Q432" s="7">
        <f t="shared" si="96"/>
        <v>150.00000000000003</v>
      </c>
      <c r="R432" s="2">
        <v>1.2</v>
      </c>
      <c r="S432" s="2">
        <f t="shared" si="91"/>
        <v>4.45</v>
      </c>
      <c r="T432" s="2"/>
      <c r="U432" s="2"/>
      <c r="Y432" s="8">
        <f t="shared" si="92"/>
        <v>5.34</v>
      </c>
    </row>
    <row r="433" spans="1:25" x14ac:dyDescent="0.25">
      <c r="A433" s="34">
        <f t="shared" si="99"/>
        <v>425</v>
      </c>
      <c r="B433" s="35">
        <f t="shared" si="99"/>
        <v>361</v>
      </c>
      <c r="C433" s="40" t="s">
        <v>136</v>
      </c>
      <c r="D433" s="41" t="s">
        <v>96</v>
      </c>
      <c r="E433" s="35">
        <v>1</v>
      </c>
      <c r="F433" s="36">
        <f>377420/1000000/3</f>
        <v>0.12580666666666665</v>
      </c>
      <c r="G433" s="36">
        <f t="shared" si="100"/>
        <v>2.4783913333333331E-2</v>
      </c>
      <c r="H433" s="36">
        <f>187680/1000000/3</f>
        <v>6.2560000000000004E-2</v>
      </c>
      <c r="I433" s="37">
        <f t="shared" si="101"/>
        <v>9.384E-3</v>
      </c>
      <c r="J433" s="32">
        <f t="shared" si="90"/>
        <v>0.13919600000000001</v>
      </c>
      <c r="K433" s="33">
        <f t="shared" si="93"/>
        <v>2.0879400000000003E-2</v>
      </c>
      <c r="L433" s="33"/>
      <c r="O433" s="2">
        <f t="shared" si="94"/>
        <v>2.6066666666666669E-2</v>
      </c>
      <c r="P433" s="2">
        <f t="shared" si="95"/>
        <v>18.768000000000001</v>
      </c>
      <c r="Q433" s="7">
        <f t="shared" si="96"/>
        <v>85</v>
      </c>
      <c r="R433" s="2">
        <v>1.2</v>
      </c>
      <c r="S433" s="2">
        <f t="shared" si="91"/>
        <v>4.45</v>
      </c>
      <c r="T433" s="2"/>
      <c r="U433" s="2"/>
      <c r="Y433" s="8">
        <f t="shared" si="92"/>
        <v>3.0260000000000007</v>
      </c>
    </row>
    <row r="434" spans="1:25" x14ac:dyDescent="0.25">
      <c r="A434" s="34">
        <f t="shared" si="99"/>
        <v>426</v>
      </c>
      <c r="B434" s="35">
        <f t="shared" si="99"/>
        <v>362</v>
      </c>
      <c r="C434" s="40" t="s">
        <v>136</v>
      </c>
      <c r="D434" s="41" t="s">
        <v>96</v>
      </c>
      <c r="E434" s="35">
        <v>2</v>
      </c>
      <c r="F434" s="36">
        <f>377420/1000000/3</f>
        <v>0.12580666666666665</v>
      </c>
      <c r="G434" s="36">
        <f t="shared" si="100"/>
        <v>2.4783913333333331E-2</v>
      </c>
      <c r="H434" s="36">
        <f>187680/1000000/3</f>
        <v>6.2560000000000004E-2</v>
      </c>
      <c r="I434" s="37">
        <f t="shared" si="101"/>
        <v>9.384E-3</v>
      </c>
      <c r="J434" s="32">
        <f t="shared" si="90"/>
        <v>0.13919600000000001</v>
      </c>
      <c r="K434" s="33">
        <f t="shared" si="93"/>
        <v>2.0879400000000003E-2</v>
      </c>
      <c r="L434" s="33"/>
      <c r="O434" s="2">
        <f t="shared" si="94"/>
        <v>2.6066666666666669E-2</v>
      </c>
      <c r="P434" s="2">
        <f t="shared" si="95"/>
        <v>18.768000000000001</v>
      </c>
      <c r="Q434" s="7">
        <f t="shared" si="96"/>
        <v>85</v>
      </c>
      <c r="R434" s="2">
        <v>1.2</v>
      </c>
      <c r="S434" s="2">
        <f t="shared" si="91"/>
        <v>4.45</v>
      </c>
      <c r="T434" s="2"/>
      <c r="U434" s="2"/>
      <c r="Y434" s="8">
        <f t="shared" si="92"/>
        <v>3.0260000000000007</v>
      </c>
    </row>
    <row r="435" spans="1:25" x14ac:dyDescent="0.25">
      <c r="A435" s="34">
        <f t="shared" si="99"/>
        <v>427</v>
      </c>
      <c r="B435" s="35">
        <f t="shared" si="99"/>
        <v>363</v>
      </c>
      <c r="C435" s="40" t="s">
        <v>136</v>
      </c>
      <c r="D435" s="41" t="s">
        <v>96</v>
      </c>
      <c r="E435" s="35">
        <v>3</v>
      </c>
      <c r="F435" s="36">
        <f>377420/1000000/3</f>
        <v>0.12580666666666665</v>
      </c>
      <c r="G435" s="36">
        <f t="shared" si="100"/>
        <v>2.4783913333333331E-2</v>
      </c>
      <c r="H435" s="36">
        <f>187680/1000000/3</f>
        <v>6.2560000000000004E-2</v>
      </c>
      <c r="I435" s="37">
        <f t="shared" si="101"/>
        <v>9.384E-3</v>
      </c>
      <c r="J435" s="32">
        <f t="shared" si="90"/>
        <v>0.13919600000000001</v>
      </c>
      <c r="K435" s="33">
        <f t="shared" si="93"/>
        <v>2.0879400000000003E-2</v>
      </c>
      <c r="L435" s="33"/>
      <c r="O435" s="2">
        <f t="shared" si="94"/>
        <v>2.6066666666666669E-2</v>
      </c>
      <c r="P435" s="2">
        <f t="shared" si="95"/>
        <v>18.768000000000001</v>
      </c>
      <c r="Q435" s="7">
        <f t="shared" si="96"/>
        <v>85</v>
      </c>
      <c r="R435" s="2">
        <v>1.2</v>
      </c>
      <c r="S435" s="2">
        <f t="shared" si="91"/>
        <v>4.45</v>
      </c>
      <c r="T435" s="2"/>
      <c r="U435" s="2"/>
      <c r="Y435" s="8">
        <f t="shared" si="92"/>
        <v>3.0260000000000007</v>
      </c>
    </row>
    <row r="436" spans="1:25" x14ac:dyDescent="0.25">
      <c r="A436" s="34">
        <f t="shared" si="99"/>
        <v>428</v>
      </c>
      <c r="B436" s="35"/>
      <c r="C436" s="40" t="s">
        <v>136</v>
      </c>
      <c r="D436" s="35">
        <v>21</v>
      </c>
      <c r="E436" s="35"/>
      <c r="F436" s="36">
        <f>317585/1000000</f>
        <v>0.31758500000000001</v>
      </c>
      <c r="G436" s="36">
        <f t="shared" si="100"/>
        <v>6.2564245000000004E-2</v>
      </c>
      <c r="H436" s="36">
        <f>127328/1000000</f>
        <v>0.127328</v>
      </c>
      <c r="I436" s="37">
        <f t="shared" si="101"/>
        <v>1.90992E-2</v>
      </c>
      <c r="J436" s="32">
        <f t="shared" si="90"/>
        <v>0.23555680000000001</v>
      </c>
      <c r="K436" s="33">
        <f t="shared" si="93"/>
        <v>3.533352E-2</v>
      </c>
      <c r="L436" s="33"/>
      <c r="O436" s="2">
        <f t="shared" si="94"/>
        <v>5.3053333333333334E-2</v>
      </c>
      <c r="P436" s="2">
        <f t="shared" si="95"/>
        <v>38.198399999999999</v>
      </c>
      <c r="Q436" s="7">
        <f t="shared" si="96"/>
        <v>173</v>
      </c>
      <c r="R436" s="2">
        <v>1.2</v>
      </c>
      <c r="S436" s="2">
        <f t="shared" si="91"/>
        <v>3.7</v>
      </c>
      <c r="T436" s="2"/>
      <c r="U436" s="2"/>
      <c r="Y436" s="8">
        <f t="shared" si="92"/>
        <v>5.1208</v>
      </c>
    </row>
    <row r="437" spans="1:25" x14ac:dyDescent="0.25">
      <c r="A437" s="34">
        <f t="shared" si="99"/>
        <v>429</v>
      </c>
      <c r="B437" s="35">
        <f>B435+1</f>
        <v>364</v>
      </c>
      <c r="C437" s="40" t="s">
        <v>136</v>
      </c>
      <c r="D437" s="44" t="s">
        <v>34</v>
      </c>
      <c r="E437" s="43"/>
      <c r="F437" s="36">
        <v>0.31759999999999999</v>
      </c>
      <c r="G437" s="36">
        <v>6.2567200000000003E-2</v>
      </c>
      <c r="H437" s="36">
        <v>0.1008</v>
      </c>
      <c r="I437" s="37">
        <v>1.512E-2</v>
      </c>
      <c r="J437" s="32">
        <f t="shared" si="90"/>
        <v>0.22428000000000001</v>
      </c>
      <c r="K437" s="33">
        <f t="shared" si="93"/>
        <v>3.3641999999999998E-2</v>
      </c>
      <c r="L437" s="33"/>
      <c r="O437" s="2">
        <f t="shared" si="94"/>
        <v>4.2000000000000003E-2</v>
      </c>
      <c r="P437" s="2">
        <f t="shared" si="95"/>
        <v>30.240000000000002</v>
      </c>
      <c r="Q437" s="7">
        <f t="shared" si="96"/>
        <v>136.95652173913044</v>
      </c>
      <c r="R437" s="2">
        <v>1.2</v>
      </c>
      <c r="S437" s="2">
        <f t="shared" si="91"/>
        <v>4.45</v>
      </c>
      <c r="T437" s="2"/>
      <c r="U437" s="2"/>
      <c r="Y437" s="8">
        <f t="shared" si="92"/>
        <v>4.8756521739130436</v>
      </c>
    </row>
    <row r="438" spans="1:25" x14ac:dyDescent="0.25">
      <c r="A438" s="34">
        <f t="shared" si="99"/>
        <v>430</v>
      </c>
      <c r="B438" s="35">
        <f>B437+1</f>
        <v>365</v>
      </c>
      <c r="C438" s="40" t="s">
        <v>136</v>
      </c>
      <c r="D438" s="44" t="s">
        <v>98</v>
      </c>
      <c r="E438" s="43"/>
      <c r="F438" s="36">
        <v>9.4899999999999998E-2</v>
      </c>
      <c r="G438" s="36">
        <v>1.8695300000000002E-2</v>
      </c>
      <c r="H438" s="36">
        <v>2.5000000000000001E-2</v>
      </c>
      <c r="I438" s="37">
        <v>3.7499999999999999E-3</v>
      </c>
      <c r="J438" s="32">
        <f t="shared" si="90"/>
        <v>5.5625000000000008E-2</v>
      </c>
      <c r="K438" s="33">
        <f t="shared" si="93"/>
        <v>8.3437500000000005E-3</v>
      </c>
      <c r="L438" s="33"/>
      <c r="O438" s="2">
        <f t="shared" si="94"/>
        <v>1.0416666666666668E-2</v>
      </c>
      <c r="P438" s="2">
        <f t="shared" si="95"/>
        <v>7.5</v>
      </c>
      <c r="Q438" s="7">
        <f t="shared" si="96"/>
        <v>33.967391304347828</v>
      </c>
      <c r="R438" s="2">
        <v>1.2</v>
      </c>
      <c r="S438" s="2">
        <f t="shared" si="91"/>
        <v>4.45</v>
      </c>
      <c r="T438" s="2"/>
      <c r="U438" s="2"/>
      <c r="Y438" s="8">
        <f t="shared" si="92"/>
        <v>1.2092391304347827</v>
      </c>
    </row>
    <row r="439" spans="1:25" x14ac:dyDescent="0.25">
      <c r="A439" s="34">
        <f t="shared" si="99"/>
        <v>431</v>
      </c>
      <c r="B439" s="35">
        <f>B438+1</f>
        <v>366</v>
      </c>
      <c r="C439" s="40" t="s">
        <v>136</v>
      </c>
      <c r="D439" s="44" t="s">
        <v>99</v>
      </c>
      <c r="E439" s="43"/>
      <c r="F439" s="36">
        <v>9.1969999999999996E-2</v>
      </c>
      <c r="G439" s="36">
        <v>1.811809E-2</v>
      </c>
      <c r="H439" s="36">
        <v>4.8078000000000003E-2</v>
      </c>
      <c r="I439" s="37">
        <v>7.2116999999999997E-3</v>
      </c>
      <c r="J439" s="32">
        <f t="shared" si="90"/>
        <v>0.10697355000000001</v>
      </c>
      <c r="K439" s="33">
        <f t="shared" si="93"/>
        <v>1.6046032500000001E-2</v>
      </c>
      <c r="L439" s="33"/>
      <c r="O439" s="2">
        <f t="shared" si="94"/>
        <v>2.0032500000000002E-2</v>
      </c>
      <c r="P439" s="2">
        <f t="shared" si="95"/>
        <v>14.423400000000001</v>
      </c>
      <c r="Q439" s="7">
        <f t="shared" si="96"/>
        <v>65.323369565217391</v>
      </c>
      <c r="R439" s="2">
        <v>1.2</v>
      </c>
      <c r="S439" s="2">
        <f t="shared" si="91"/>
        <v>4.45</v>
      </c>
      <c r="T439" s="2"/>
      <c r="U439" s="2"/>
      <c r="Y439" s="8">
        <f t="shared" si="92"/>
        <v>2.3255119565217397</v>
      </c>
    </row>
    <row r="440" spans="1:25" x14ac:dyDescent="0.25">
      <c r="A440" s="34">
        <f t="shared" si="99"/>
        <v>432</v>
      </c>
      <c r="B440" s="35">
        <f>B439+1</f>
        <v>367</v>
      </c>
      <c r="C440" s="40" t="s">
        <v>136</v>
      </c>
      <c r="D440" s="44" t="s">
        <v>100</v>
      </c>
      <c r="E440" s="43"/>
      <c r="F440" s="36">
        <v>9.5500000000000002E-2</v>
      </c>
      <c r="G440" s="36">
        <v>1.88135E-2</v>
      </c>
      <c r="H440" s="36">
        <v>2.87E-2</v>
      </c>
      <c r="I440" s="37">
        <v>4.3049999999999998E-3</v>
      </c>
      <c r="J440" s="32">
        <f t="shared" si="90"/>
        <v>6.3857499999999998E-2</v>
      </c>
      <c r="K440" s="33">
        <f t="shared" si="93"/>
        <v>9.5786249999999986E-3</v>
      </c>
      <c r="L440" s="33"/>
      <c r="O440" s="2">
        <f t="shared" si="94"/>
        <v>1.1958333333333333E-2</v>
      </c>
      <c r="P440" s="2">
        <f t="shared" si="95"/>
        <v>8.61</v>
      </c>
      <c r="Q440" s="7">
        <f t="shared" si="96"/>
        <v>38.994565217391305</v>
      </c>
      <c r="R440" s="2">
        <v>1.2</v>
      </c>
      <c r="S440" s="2">
        <f t="shared" si="91"/>
        <v>4.45</v>
      </c>
      <c r="T440" s="2"/>
      <c r="U440" s="2"/>
      <c r="Y440" s="8">
        <f t="shared" si="92"/>
        <v>1.3882065217391304</v>
      </c>
    </row>
    <row r="441" spans="1:25" x14ac:dyDescent="0.25">
      <c r="A441" s="34">
        <f t="shared" si="99"/>
        <v>433</v>
      </c>
      <c r="B441" s="35">
        <f>B440+1</f>
        <v>368</v>
      </c>
      <c r="C441" s="40" t="s">
        <v>136</v>
      </c>
      <c r="D441" s="41" t="s">
        <v>101</v>
      </c>
      <c r="E441" s="35"/>
      <c r="F441" s="36">
        <f>253718/1000000</f>
        <v>0.253718</v>
      </c>
      <c r="G441" s="36">
        <f t="shared" ref="G441:G458" si="102">F441*0.197</f>
        <v>4.9982446E-2</v>
      </c>
      <c r="H441" s="36">
        <f>147200/1000000</f>
        <v>0.1472</v>
      </c>
      <c r="I441" s="37">
        <f>H441*0.15</f>
        <v>2.2079999999999999E-2</v>
      </c>
      <c r="J441" s="32">
        <f t="shared" si="90"/>
        <v>0.27232000000000001</v>
      </c>
      <c r="K441" s="33">
        <f t="shared" si="93"/>
        <v>4.0848000000000002E-2</v>
      </c>
      <c r="L441" s="33"/>
      <c r="O441" s="2">
        <f t="shared" si="94"/>
        <v>6.1333333333333337E-2</v>
      </c>
      <c r="P441" s="2">
        <f t="shared" si="95"/>
        <v>44.16</v>
      </c>
      <c r="Q441" s="7">
        <f t="shared" si="96"/>
        <v>200</v>
      </c>
      <c r="R441" s="2">
        <v>1.2</v>
      </c>
      <c r="S441" s="2">
        <f t="shared" si="91"/>
        <v>3.7</v>
      </c>
      <c r="T441" s="2"/>
      <c r="U441" s="2"/>
      <c r="Y441" s="8">
        <f t="shared" si="92"/>
        <v>5.92</v>
      </c>
    </row>
    <row r="442" spans="1:25" x14ac:dyDescent="0.25">
      <c r="A442" s="34">
        <f t="shared" si="99"/>
        <v>434</v>
      </c>
      <c r="B442" s="35">
        <f>B441+1</f>
        <v>369</v>
      </c>
      <c r="C442" s="40" t="s">
        <v>136</v>
      </c>
      <c r="D442" s="41" t="s">
        <v>102</v>
      </c>
      <c r="E442" s="35"/>
      <c r="F442" s="36">
        <f>334966/1000000</f>
        <v>0.33496599999999999</v>
      </c>
      <c r="G442" s="36">
        <f t="shared" si="102"/>
        <v>6.5988301999999999E-2</v>
      </c>
      <c r="H442" s="36">
        <f>154740/1000000</f>
        <v>0.15473999999999999</v>
      </c>
      <c r="I442" s="37">
        <f>H442*0.15</f>
        <v>2.3210999999999999E-2</v>
      </c>
      <c r="J442" s="32">
        <f t="shared" si="90"/>
        <v>0.28626900000000005</v>
      </c>
      <c r="K442" s="33">
        <f t="shared" si="93"/>
        <v>4.2940350000000009E-2</v>
      </c>
      <c r="L442" s="33"/>
      <c r="O442" s="2">
        <f t="shared" si="94"/>
        <v>6.4475000000000005E-2</v>
      </c>
      <c r="P442" s="2">
        <f t="shared" si="95"/>
        <v>46.422000000000004</v>
      </c>
      <c r="Q442" s="7">
        <f t="shared" si="96"/>
        <v>210.24456521739134</v>
      </c>
      <c r="R442" s="2">
        <v>1.2</v>
      </c>
      <c r="S442" s="2">
        <f t="shared" si="91"/>
        <v>3.7</v>
      </c>
      <c r="T442" s="2"/>
      <c r="U442" s="2"/>
      <c r="Y442" s="8">
        <f t="shared" si="92"/>
        <v>6.2232391304347843</v>
      </c>
    </row>
    <row r="443" spans="1:25" x14ac:dyDescent="0.25">
      <c r="A443" s="34">
        <f t="shared" si="99"/>
        <v>435</v>
      </c>
      <c r="B443" s="35"/>
      <c r="C443" s="40" t="s">
        <v>137</v>
      </c>
      <c r="D443" s="35">
        <v>2</v>
      </c>
      <c r="E443" s="35"/>
      <c r="F443" s="36">
        <f>168890/1000000</f>
        <v>0.16889000000000001</v>
      </c>
      <c r="G443" s="36">
        <f t="shared" si="102"/>
        <v>3.3271330000000002E-2</v>
      </c>
      <c r="H443" s="36">
        <f>83904/1000000</f>
        <v>8.3904000000000006E-2</v>
      </c>
      <c r="I443" s="37">
        <f>H443*0.15</f>
        <v>1.2585600000000001E-2</v>
      </c>
      <c r="J443" s="32">
        <f t="shared" si="90"/>
        <v>0.18668640000000003</v>
      </c>
      <c r="K443" s="33">
        <f t="shared" si="93"/>
        <v>2.8002960000000004E-2</v>
      </c>
      <c r="L443" s="33"/>
      <c r="O443" s="2">
        <f t="shared" si="94"/>
        <v>3.4960000000000005E-2</v>
      </c>
      <c r="P443" s="2">
        <f t="shared" si="95"/>
        <v>25.171200000000002</v>
      </c>
      <c r="Q443" s="7">
        <f t="shared" si="96"/>
        <v>114.00000000000001</v>
      </c>
      <c r="R443" s="2">
        <v>1.2</v>
      </c>
      <c r="S443" s="2">
        <f t="shared" si="91"/>
        <v>4.45</v>
      </c>
      <c r="T443" s="2"/>
      <c r="U443" s="2"/>
      <c r="Y443" s="8">
        <f t="shared" si="92"/>
        <v>4.0584000000000007</v>
      </c>
    </row>
    <row r="444" spans="1:25" x14ac:dyDescent="0.25">
      <c r="A444" s="34">
        <f t="shared" ref="A444:B459" si="103">A443+1</f>
        <v>436</v>
      </c>
      <c r="B444" s="35"/>
      <c r="C444" s="40" t="s">
        <v>137</v>
      </c>
      <c r="D444" s="35">
        <v>3</v>
      </c>
      <c r="E444" s="35"/>
      <c r="F444" s="36">
        <f>168890/1000000</f>
        <v>0.16889000000000001</v>
      </c>
      <c r="G444" s="36">
        <f t="shared" si="102"/>
        <v>3.3271330000000002E-2</v>
      </c>
      <c r="H444" s="36">
        <f>82432/1000000</f>
        <v>8.2432000000000005E-2</v>
      </c>
      <c r="I444" s="37">
        <f>H444*0.15</f>
        <v>1.23648E-2</v>
      </c>
      <c r="J444" s="32">
        <f t="shared" si="90"/>
        <v>0.18341120000000002</v>
      </c>
      <c r="K444" s="33">
        <f t="shared" si="93"/>
        <v>2.7511680000000004E-2</v>
      </c>
      <c r="L444" s="33"/>
      <c r="O444" s="2">
        <f t="shared" si="94"/>
        <v>3.4346666666666671E-2</v>
      </c>
      <c r="P444" s="2">
        <f t="shared" si="95"/>
        <v>24.729600000000005</v>
      </c>
      <c r="Q444" s="7">
        <f t="shared" si="96"/>
        <v>112.00000000000003</v>
      </c>
      <c r="R444" s="2">
        <v>1.2</v>
      </c>
      <c r="S444" s="2">
        <f t="shared" si="91"/>
        <v>4.45</v>
      </c>
      <c r="T444" s="2"/>
      <c r="U444" s="2"/>
      <c r="Y444" s="8">
        <f t="shared" si="92"/>
        <v>3.9872000000000005</v>
      </c>
    </row>
    <row r="445" spans="1:25" x14ac:dyDescent="0.25">
      <c r="A445" s="34">
        <f t="shared" si="103"/>
        <v>437</v>
      </c>
      <c r="B445" s="35"/>
      <c r="C445" s="40" t="s">
        <v>137</v>
      </c>
      <c r="D445" s="35">
        <v>4</v>
      </c>
      <c r="E445" s="35">
        <v>1</v>
      </c>
      <c r="F445" s="36">
        <f>317924/1000000/2</f>
        <v>0.15896199999999999</v>
      </c>
      <c r="G445" s="36">
        <f t="shared" si="102"/>
        <v>3.1315514000000003E-2</v>
      </c>
      <c r="H445" s="36">
        <f>159712/1000000</f>
        <v>0.15971199999999999</v>
      </c>
      <c r="I445" s="37">
        <f>H445*0.15</f>
        <v>2.3956799999999997E-2</v>
      </c>
      <c r="J445" s="32">
        <f t="shared" si="90"/>
        <v>0.29546719999999999</v>
      </c>
      <c r="K445" s="33">
        <f t="shared" si="93"/>
        <v>4.4320079999999998E-2</v>
      </c>
      <c r="L445" s="33"/>
      <c r="O445" s="2">
        <f t="shared" si="94"/>
        <v>6.6546666666666671E-2</v>
      </c>
      <c r="P445" s="2">
        <f t="shared" si="95"/>
        <v>47.913600000000002</v>
      </c>
      <c r="Q445" s="7">
        <f t="shared" si="96"/>
        <v>217.00000000000003</v>
      </c>
      <c r="R445" s="2">
        <v>1.2</v>
      </c>
      <c r="S445" s="2">
        <f t="shared" si="91"/>
        <v>3.7</v>
      </c>
      <c r="T445" s="2"/>
      <c r="U445" s="2"/>
      <c r="Y445" s="8">
        <f t="shared" si="92"/>
        <v>6.4231999999999996</v>
      </c>
    </row>
    <row r="446" spans="1:25" x14ac:dyDescent="0.25">
      <c r="A446" s="34">
        <f t="shared" si="103"/>
        <v>438</v>
      </c>
      <c r="B446" s="35"/>
      <c r="C446" s="40" t="s">
        <v>137</v>
      </c>
      <c r="D446" s="35">
        <v>4</v>
      </c>
      <c r="E446" s="35">
        <v>2</v>
      </c>
      <c r="F446" s="36">
        <f>317924/1000000/2</f>
        <v>0.15896199999999999</v>
      </c>
      <c r="G446" s="36">
        <f t="shared" si="102"/>
        <v>3.1315514000000003E-2</v>
      </c>
      <c r="H446" s="36"/>
      <c r="I446" s="37"/>
      <c r="J446" s="32">
        <f t="shared" si="90"/>
        <v>0</v>
      </c>
      <c r="K446" s="33">
        <f t="shared" si="93"/>
        <v>0</v>
      </c>
      <c r="L446" s="33"/>
      <c r="O446" s="2">
        <f t="shared" si="94"/>
        <v>0</v>
      </c>
      <c r="P446" s="2">
        <f t="shared" si="95"/>
        <v>0</v>
      </c>
      <c r="Q446" s="7">
        <f t="shared" si="96"/>
        <v>0</v>
      </c>
      <c r="R446" s="2">
        <v>1.2</v>
      </c>
      <c r="S446" s="2">
        <f t="shared" si="91"/>
        <v>4.45</v>
      </c>
      <c r="T446" s="2"/>
      <c r="U446" s="2"/>
      <c r="Y446" s="8">
        <f t="shared" si="92"/>
        <v>0</v>
      </c>
    </row>
    <row r="447" spans="1:25" x14ac:dyDescent="0.25">
      <c r="A447" s="34">
        <f t="shared" si="103"/>
        <v>439</v>
      </c>
      <c r="B447" s="35"/>
      <c r="C447" s="40" t="s">
        <v>137</v>
      </c>
      <c r="D447" s="35">
        <v>5</v>
      </c>
      <c r="E447" s="35"/>
      <c r="F447" s="36">
        <f>168890/1000000</f>
        <v>0.16889000000000001</v>
      </c>
      <c r="G447" s="36">
        <f t="shared" si="102"/>
        <v>3.3271330000000002E-2</v>
      </c>
      <c r="H447" s="36">
        <f>78016/1000000</f>
        <v>7.8016000000000002E-2</v>
      </c>
      <c r="I447" s="37">
        <f>H447*0.15</f>
        <v>1.17024E-2</v>
      </c>
      <c r="J447" s="32">
        <f t="shared" si="90"/>
        <v>0.17358560000000001</v>
      </c>
      <c r="K447" s="33">
        <f t="shared" si="93"/>
        <v>2.603784E-2</v>
      </c>
      <c r="L447" s="33"/>
      <c r="O447" s="2">
        <f t="shared" si="94"/>
        <v>3.250666666666667E-2</v>
      </c>
      <c r="P447" s="2">
        <f t="shared" si="95"/>
        <v>23.404800000000002</v>
      </c>
      <c r="Q447" s="7">
        <f t="shared" si="96"/>
        <v>106.00000000000001</v>
      </c>
      <c r="R447" s="2">
        <v>1.2</v>
      </c>
      <c r="S447" s="2">
        <f t="shared" si="91"/>
        <v>4.45</v>
      </c>
      <c r="T447" s="2"/>
      <c r="U447" s="2"/>
      <c r="Y447" s="8">
        <f t="shared" si="92"/>
        <v>3.7736000000000001</v>
      </c>
    </row>
    <row r="448" spans="1:25" x14ac:dyDescent="0.25">
      <c r="A448" s="34">
        <f t="shared" si="103"/>
        <v>440</v>
      </c>
      <c r="B448" s="35"/>
      <c r="C448" s="40" t="s">
        <v>137</v>
      </c>
      <c r="D448" s="35">
        <v>6</v>
      </c>
      <c r="E448" s="35">
        <v>1</v>
      </c>
      <c r="F448" s="36">
        <f>317924/1000000/2</f>
        <v>0.15896199999999999</v>
      </c>
      <c r="G448" s="36">
        <f t="shared" si="102"/>
        <v>3.1315514000000003E-2</v>
      </c>
      <c r="H448" s="36">
        <f>168544/1000000</f>
        <v>0.168544</v>
      </c>
      <c r="I448" s="37">
        <f>H448*0.15</f>
        <v>2.5281599999999998E-2</v>
      </c>
      <c r="J448" s="32">
        <f t="shared" si="90"/>
        <v>0.31180640000000004</v>
      </c>
      <c r="K448" s="33">
        <f t="shared" si="93"/>
        <v>4.6770960000000007E-2</v>
      </c>
      <c r="L448" s="33"/>
      <c r="O448" s="2">
        <f t="shared" si="94"/>
        <v>7.0226666666666673E-2</v>
      </c>
      <c r="P448" s="2">
        <f t="shared" si="95"/>
        <v>50.563200000000009</v>
      </c>
      <c r="Q448" s="7">
        <f t="shared" si="96"/>
        <v>229.00000000000006</v>
      </c>
      <c r="R448" s="2">
        <v>1.2</v>
      </c>
      <c r="S448" s="2">
        <f t="shared" si="91"/>
        <v>3.7</v>
      </c>
      <c r="T448" s="2"/>
      <c r="U448" s="2"/>
      <c r="Y448" s="8">
        <f t="shared" si="92"/>
        <v>6.7784000000000013</v>
      </c>
    </row>
    <row r="449" spans="1:25" x14ac:dyDescent="0.25">
      <c r="A449" s="34">
        <f t="shared" si="103"/>
        <v>441</v>
      </c>
      <c r="B449" s="35"/>
      <c r="C449" s="40" t="s">
        <v>137</v>
      </c>
      <c r="D449" s="35">
        <v>6</v>
      </c>
      <c r="E449" s="35">
        <v>2</v>
      </c>
      <c r="F449" s="36">
        <f>317924/1000000/2</f>
        <v>0.15896199999999999</v>
      </c>
      <c r="G449" s="36">
        <f t="shared" si="102"/>
        <v>3.1315514000000003E-2</v>
      </c>
      <c r="H449" s="36"/>
      <c r="I449" s="37"/>
      <c r="J449" s="32">
        <f t="shared" si="90"/>
        <v>0</v>
      </c>
      <c r="K449" s="33">
        <f t="shared" si="93"/>
        <v>0</v>
      </c>
      <c r="L449" s="33"/>
      <c r="O449" s="2">
        <f t="shared" si="94"/>
        <v>0</v>
      </c>
      <c r="P449" s="2">
        <f t="shared" si="95"/>
        <v>0</v>
      </c>
      <c r="Q449" s="7">
        <f t="shared" si="96"/>
        <v>0</v>
      </c>
      <c r="R449" s="2">
        <v>1.2</v>
      </c>
      <c r="S449" s="2">
        <f t="shared" si="91"/>
        <v>4.45</v>
      </c>
      <c r="T449" s="2"/>
      <c r="U449" s="2"/>
      <c r="Y449" s="8">
        <f t="shared" si="92"/>
        <v>0</v>
      </c>
    </row>
    <row r="450" spans="1:25" x14ac:dyDescent="0.25">
      <c r="A450" s="34">
        <f t="shared" si="103"/>
        <v>442</v>
      </c>
      <c r="B450" s="35"/>
      <c r="C450" s="40" t="s">
        <v>137</v>
      </c>
      <c r="D450" s="41" t="s">
        <v>50</v>
      </c>
      <c r="E450" s="35"/>
      <c r="F450" s="36">
        <f>310534/1000000</f>
        <v>0.31053399999999998</v>
      </c>
      <c r="G450" s="36">
        <f t="shared" si="102"/>
        <v>6.1175198E-2</v>
      </c>
      <c r="H450" s="36">
        <f>90528/1000000</f>
        <v>9.0527999999999997E-2</v>
      </c>
      <c r="I450" s="37">
        <f>H450*0.15</f>
        <v>1.35792E-2</v>
      </c>
      <c r="J450" s="32">
        <f t="shared" si="90"/>
        <v>0.20142480000000004</v>
      </c>
      <c r="K450" s="33">
        <f t="shared" si="93"/>
        <v>3.0213720000000006E-2</v>
      </c>
      <c r="L450" s="33"/>
      <c r="O450" s="2">
        <f t="shared" si="94"/>
        <v>3.7720000000000004E-2</v>
      </c>
      <c r="P450" s="2">
        <f t="shared" si="95"/>
        <v>27.158400000000004</v>
      </c>
      <c r="Q450" s="7">
        <f t="shared" si="96"/>
        <v>123.00000000000001</v>
      </c>
      <c r="R450" s="2">
        <v>1.2</v>
      </c>
      <c r="S450" s="2">
        <f t="shared" si="91"/>
        <v>4.45</v>
      </c>
      <c r="T450" s="2"/>
      <c r="U450" s="2"/>
      <c r="Y450" s="8">
        <f t="shared" si="92"/>
        <v>4.3788000000000009</v>
      </c>
    </row>
    <row r="451" spans="1:25" x14ac:dyDescent="0.25">
      <c r="A451" s="34">
        <f t="shared" si="103"/>
        <v>443</v>
      </c>
      <c r="B451" s="35"/>
      <c r="C451" s="40" t="s">
        <v>137</v>
      </c>
      <c r="D451" s="41" t="s">
        <v>51</v>
      </c>
      <c r="E451" s="35">
        <v>1</v>
      </c>
      <c r="F451" s="36">
        <f>408062/1000000/2</f>
        <v>0.20403099999999999</v>
      </c>
      <c r="G451" s="36">
        <f t="shared" si="102"/>
        <v>4.0194107E-2</v>
      </c>
      <c r="H451" s="36">
        <f>125120/1000000</f>
        <v>0.12512000000000001</v>
      </c>
      <c r="I451" s="37">
        <f>H451*0.15</f>
        <v>1.8768E-2</v>
      </c>
      <c r="J451" s="32">
        <f t="shared" si="90"/>
        <v>0.23147200000000004</v>
      </c>
      <c r="K451" s="33">
        <f t="shared" si="93"/>
        <v>3.4720800000000003E-2</v>
      </c>
      <c r="L451" s="33"/>
      <c r="O451" s="2">
        <f t="shared" si="94"/>
        <v>5.2133333333333337E-2</v>
      </c>
      <c r="P451" s="2">
        <f t="shared" si="95"/>
        <v>37.536000000000001</v>
      </c>
      <c r="Q451" s="7">
        <f t="shared" si="96"/>
        <v>170</v>
      </c>
      <c r="R451" s="2">
        <v>1.2</v>
      </c>
      <c r="S451" s="2">
        <f t="shared" si="91"/>
        <v>3.7</v>
      </c>
      <c r="T451" s="2"/>
      <c r="U451" s="2"/>
      <c r="Y451" s="8">
        <f t="shared" si="92"/>
        <v>5.0320000000000009</v>
      </c>
    </row>
    <row r="452" spans="1:25" x14ac:dyDescent="0.25">
      <c r="A452" s="34">
        <f t="shared" si="103"/>
        <v>444</v>
      </c>
      <c r="B452" s="35"/>
      <c r="C452" s="40" t="s">
        <v>137</v>
      </c>
      <c r="D452" s="41" t="s">
        <v>51</v>
      </c>
      <c r="E452" s="35">
        <v>2</v>
      </c>
      <c r="F452" s="36">
        <f>408062/1000000/2</f>
        <v>0.20403099999999999</v>
      </c>
      <c r="G452" s="36">
        <f t="shared" si="102"/>
        <v>4.0194107E-2</v>
      </c>
      <c r="H452" s="36"/>
      <c r="I452" s="37"/>
      <c r="J452" s="32">
        <f t="shared" si="90"/>
        <v>0</v>
      </c>
      <c r="K452" s="33">
        <f t="shared" si="93"/>
        <v>0</v>
      </c>
      <c r="L452" s="33"/>
      <c r="O452" s="2">
        <f t="shared" si="94"/>
        <v>0</v>
      </c>
      <c r="P452" s="2">
        <f t="shared" si="95"/>
        <v>0</v>
      </c>
      <c r="Q452" s="7">
        <f t="shared" si="96"/>
        <v>0</v>
      </c>
      <c r="R452" s="2">
        <v>1.2</v>
      </c>
      <c r="S452" s="2">
        <f t="shared" si="91"/>
        <v>4.45</v>
      </c>
      <c r="T452" s="2"/>
      <c r="U452" s="2"/>
      <c r="Y452" s="8">
        <f t="shared" si="92"/>
        <v>0</v>
      </c>
    </row>
    <row r="453" spans="1:25" x14ac:dyDescent="0.25">
      <c r="A453" s="34">
        <f t="shared" si="103"/>
        <v>445</v>
      </c>
      <c r="B453" s="35"/>
      <c r="C453" s="40" t="s">
        <v>137</v>
      </c>
      <c r="D453" s="41" t="s">
        <v>52</v>
      </c>
      <c r="E453" s="35"/>
      <c r="F453" s="36">
        <f>213493/1000000</f>
        <v>0.21349299999999999</v>
      </c>
      <c r="G453" s="36">
        <f t="shared" si="102"/>
        <v>4.2058120999999997E-2</v>
      </c>
      <c r="H453" s="36">
        <f>77280/1000000</f>
        <v>7.7280000000000001E-2</v>
      </c>
      <c r="I453" s="37">
        <f t="shared" ref="I453:I458" si="104">H453*0.15</f>
        <v>1.1592E-2</v>
      </c>
      <c r="J453" s="32">
        <f t="shared" si="90"/>
        <v>0.17194800000000002</v>
      </c>
      <c r="K453" s="33">
        <f t="shared" si="93"/>
        <v>2.5792200000000001E-2</v>
      </c>
      <c r="L453" s="33"/>
      <c r="O453" s="2">
        <f t="shared" si="94"/>
        <v>3.2199999999999999E-2</v>
      </c>
      <c r="P453" s="2">
        <f t="shared" si="95"/>
        <v>23.183999999999997</v>
      </c>
      <c r="Q453" s="7">
        <f t="shared" si="96"/>
        <v>104.99999999999999</v>
      </c>
      <c r="R453" s="2">
        <v>1.2</v>
      </c>
      <c r="S453" s="2">
        <f t="shared" si="91"/>
        <v>4.45</v>
      </c>
      <c r="T453" s="2"/>
      <c r="U453" s="2"/>
      <c r="Y453" s="8">
        <f t="shared" si="92"/>
        <v>3.7380000000000004</v>
      </c>
    </row>
    <row r="454" spans="1:25" x14ac:dyDescent="0.25">
      <c r="A454" s="34">
        <f t="shared" si="103"/>
        <v>446</v>
      </c>
      <c r="B454" s="35"/>
      <c r="C454" s="40" t="s">
        <v>137</v>
      </c>
      <c r="D454" s="35">
        <v>12</v>
      </c>
      <c r="E454" s="35"/>
      <c r="F454" s="36">
        <f>255540/1000000</f>
        <v>0.25553999999999999</v>
      </c>
      <c r="G454" s="36">
        <f t="shared" si="102"/>
        <v>5.0341379999999998E-2</v>
      </c>
      <c r="H454" s="36">
        <f>109664/1000000</f>
        <v>0.109664</v>
      </c>
      <c r="I454" s="37">
        <f t="shared" si="104"/>
        <v>1.6449599999999998E-2</v>
      </c>
      <c r="J454" s="32">
        <f t="shared" si="90"/>
        <v>0.24400240000000001</v>
      </c>
      <c r="K454" s="33">
        <f t="shared" si="93"/>
        <v>3.6600359999999998E-2</v>
      </c>
      <c r="L454" s="33"/>
      <c r="O454" s="2">
        <f t="shared" si="94"/>
        <v>4.5693333333333336E-2</v>
      </c>
      <c r="P454" s="2">
        <f t="shared" si="95"/>
        <v>32.8992</v>
      </c>
      <c r="Q454" s="7">
        <f t="shared" si="96"/>
        <v>149</v>
      </c>
      <c r="R454" s="2">
        <v>1.2</v>
      </c>
      <c r="S454" s="2">
        <f t="shared" si="91"/>
        <v>4.45</v>
      </c>
      <c r="T454" s="2"/>
      <c r="U454" s="2"/>
      <c r="Y454" s="8">
        <f t="shared" si="92"/>
        <v>5.3044000000000002</v>
      </c>
    </row>
    <row r="455" spans="1:25" x14ac:dyDescent="0.25">
      <c r="A455" s="34">
        <f t="shared" si="103"/>
        <v>447</v>
      </c>
      <c r="B455" s="35"/>
      <c r="C455" s="40" t="s">
        <v>137</v>
      </c>
      <c r="D455" s="35">
        <v>13</v>
      </c>
      <c r="E455" s="35">
        <v>1</v>
      </c>
      <c r="F455" s="36">
        <f>325600/1000000/2</f>
        <v>0.1628</v>
      </c>
      <c r="G455" s="36">
        <f t="shared" si="102"/>
        <v>3.2071599999999999E-2</v>
      </c>
      <c r="H455" s="36">
        <f>154560/1000000</f>
        <v>0.15456</v>
      </c>
      <c r="I455" s="37">
        <f t="shared" si="104"/>
        <v>2.3184E-2</v>
      </c>
      <c r="J455" s="32">
        <f t="shared" si="90"/>
        <v>0.28593600000000002</v>
      </c>
      <c r="K455" s="33">
        <f t="shared" si="93"/>
        <v>4.2890400000000002E-2</v>
      </c>
      <c r="L455" s="33"/>
      <c r="O455" s="2">
        <f t="shared" si="94"/>
        <v>6.4399999999999999E-2</v>
      </c>
      <c r="P455" s="2">
        <f t="shared" si="95"/>
        <v>46.367999999999995</v>
      </c>
      <c r="Q455" s="7">
        <f t="shared" si="96"/>
        <v>209.99999999999997</v>
      </c>
      <c r="R455" s="2">
        <v>1.2</v>
      </c>
      <c r="S455" s="2">
        <f t="shared" si="91"/>
        <v>3.7</v>
      </c>
      <c r="T455" s="2"/>
      <c r="U455" s="2"/>
      <c r="Y455" s="8">
        <f t="shared" si="92"/>
        <v>6.2160000000000002</v>
      </c>
    </row>
    <row r="456" spans="1:25" x14ac:dyDescent="0.25">
      <c r="A456" s="34">
        <f t="shared" si="103"/>
        <v>448</v>
      </c>
      <c r="B456" s="35"/>
      <c r="C456" s="40" t="s">
        <v>137</v>
      </c>
      <c r="D456" s="35">
        <v>13</v>
      </c>
      <c r="E456" s="35">
        <v>2</v>
      </c>
      <c r="F456" s="36">
        <f>325600/1000000/2</f>
        <v>0.1628</v>
      </c>
      <c r="G456" s="36">
        <f t="shared" si="102"/>
        <v>3.2071599999999999E-2</v>
      </c>
      <c r="H456" s="36">
        <v>0</v>
      </c>
      <c r="I456" s="37">
        <f t="shared" si="104"/>
        <v>0</v>
      </c>
      <c r="J456" s="32">
        <f t="shared" si="90"/>
        <v>0</v>
      </c>
      <c r="K456" s="33">
        <f t="shared" si="93"/>
        <v>0</v>
      </c>
      <c r="L456" s="33"/>
      <c r="O456" s="2">
        <f t="shared" si="94"/>
        <v>0</v>
      </c>
      <c r="P456" s="2">
        <f t="shared" si="95"/>
        <v>0</v>
      </c>
      <c r="Q456" s="7">
        <f t="shared" si="96"/>
        <v>0</v>
      </c>
      <c r="R456" s="2">
        <v>1.2</v>
      </c>
      <c r="S456" s="2">
        <f t="shared" si="91"/>
        <v>4.45</v>
      </c>
      <c r="T456" s="2"/>
      <c r="U456" s="2"/>
      <c r="Y456" s="8">
        <f t="shared" si="92"/>
        <v>0</v>
      </c>
    </row>
    <row r="457" spans="1:25" x14ac:dyDescent="0.25">
      <c r="A457" s="34">
        <f t="shared" si="103"/>
        <v>449</v>
      </c>
      <c r="B457" s="35" t="e">
        <f>#REF!+1</f>
        <v>#REF!</v>
      </c>
      <c r="C457" s="40" t="s">
        <v>137</v>
      </c>
      <c r="D457" s="41" t="s">
        <v>98</v>
      </c>
      <c r="E457" s="35"/>
      <c r="F457" s="36">
        <f>319046/1000000</f>
        <v>0.319046</v>
      </c>
      <c r="G457" s="36">
        <f t="shared" si="102"/>
        <v>6.2852062E-2</v>
      </c>
      <c r="H457" s="36">
        <f>111872/1000000</f>
        <v>0.111872</v>
      </c>
      <c r="I457" s="37">
        <f t="shared" si="104"/>
        <v>1.6780799999999998E-2</v>
      </c>
      <c r="J457" s="32">
        <f t="shared" ref="J457:J520" si="105">O457*R457*S457</f>
        <v>0.20696320000000001</v>
      </c>
      <c r="K457" s="33">
        <f t="shared" si="93"/>
        <v>3.1044479999999999E-2</v>
      </c>
      <c r="L457" s="33"/>
      <c r="O457" s="2">
        <f t="shared" si="94"/>
        <v>4.6613333333333333E-2</v>
      </c>
      <c r="P457" s="2">
        <f t="shared" si="95"/>
        <v>33.561599999999999</v>
      </c>
      <c r="Q457" s="7">
        <f t="shared" si="96"/>
        <v>152</v>
      </c>
      <c r="R457" s="2">
        <v>1.2</v>
      </c>
      <c r="S457" s="2">
        <f t="shared" ref="S457:S520" si="106">IF(Q457&lt;=$AE$6,$AF$6,IF(Q457&lt;=$AE$7,$AF$7,IF(Q457&lt;=$AE$8,$AF$8,IF(Q457&lt;=$AE$9,$AF$9,IF(Q457&lt;=$AE$10,$AF$10,0)))))</f>
        <v>3.7</v>
      </c>
      <c r="T457" s="2"/>
      <c r="U457" s="2"/>
      <c r="Y457" s="8">
        <f t="shared" ref="Y457:Y520" si="107">J457/46*1000</f>
        <v>4.4992000000000001</v>
      </c>
    </row>
    <row r="458" spans="1:25" x14ac:dyDescent="0.25">
      <c r="A458" s="34">
        <f t="shared" si="103"/>
        <v>450</v>
      </c>
      <c r="B458" s="35" t="e">
        <f t="shared" si="103"/>
        <v>#REF!</v>
      </c>
      <c r="C458" s="40" t="s">
        <v>137</v>
      </c>
      <c r="D458" s="41" t="s">
        <v>100</v>
      </c>
      <c r="E458" s="35"/>
      <c r="F458" s="36">
        <f>214888/1000000</f>
        <v>0.214888</v>
      </c>
      <c r="G458" s="36">
        <f t="shared" si="102"/>
        <v>4.2332936000000002E-2</v>
      </c>
      <c r="H458" s="36">
        <f>64032/1000000</f>
        <v>6.4032000000000006E-2</v>
      </c>
      <c r="I458" s="37">
        <f t="shared" si="104"/>
        <v>9.6048000000000001E-3</v>
      </c>
      <c r="J458" s="32">
        <f t="shared" si="105"/>
        <v>0.14247120000000002</v>
      </c>
      <c r="K458" s="33">
        <f t="shared" ref="K458:K521" si="108">J458*0.15</f>
        <v>2.1370680000000003E-2</v>
      </c>
      <c r="L458" s="33"/>
      <c r="O458" s="2">
        <f t="shared" si="94"/>
        <v>2.6680000000000002E-2</v>
      </c>
      <c r="P458" s="2">
        <f t="shared" si="95"/>
        <v>19.209600000000002</v>
      </c>
      <c r="Q458" s="7">
        <f t="shared" si="96"/>
        <v>87.000000000000014</v>
      </c>
      <c r="R458" s="2">
        <v>1.2</v>
      </c>
      <c r="S458" s="2">
        <f t="shared" si="106"/>
        <v>4.45</v>
      </c>
      <c r="T458" s="2"/>
      <c r="U458" s="2"/>
      <c r="Y458" s="8">
        <f t="shared" si="107"/>
        <v>3.0972000000000004</v>
      </c>
    </row>
    <row r="459" spans="1:25" x14ac:dyDescent="0.25">
      <c r="A459" s="34">
        <f t="shared" si="103"/>
        <v>451</v>
      </c>
      <c r="B459" s="35" t="e">
        <f t="shared" si="103"/>
        <v>#REF!</v>
      </c>
      <c r="C459" s="40" t="s">
        <v>137</v>
      </c>
      <c r="D459" s="44" t="s">
        <v>101</v>
      </c>
      <c r="E459" s="43"/>
      <c r="F459" s="36">
        <v>0.21479999999999999</v>
      </c>
      <c r="G459" s="36">
        <v>4.2315600000000002E-2</v>
      </c>
      <c r="H459" s="36">
        <v>6.6529999999999992E-2</v>
      </c>
      <c r="I459" s="37">
        <v>9.9299999999999996E-3</v>
      </c>
      <c r="J459" s="32">
        <f t="shared" si="105"/>
        <v>0.14802925</v>
      </c>
      <c r="K459" s="33">
        <f t="shared" si="108"/>
        <v>2.2204387499999999E-2</v>
      </c>
      <c r="L459" s="33"/>
      <c r="N459" s="15"/>
      <c r="O459" s="2">
        <f t="shared" ref="O459:O522" si="109">H459/2.4</f>
        <v>2.772083333333333E-2</v>
      </c>
      <c r="P459" s="2">
        <f t="shared" ref="P459:P522" si="110">O459*24*30</f>
        <v>19.958999999999996</v>
      </c>
      <c r="Q459" s="7">
        <f t="shared" ref="Q459:Q522" si="111">P459/0.2208</f>
        <v>90.394021739130423</v>
      </c>
      <c r="R459" s="2">
        <v>1.2</v>
      </c>
      <c r="S459" s="2">
        <f t="shared" si="106"/>
        <v>4.45</v>
      </c>
      <c r="T459" s="2"/>
      <c r="U459" s="2"/>
      <c r="Y459" s="8">
        <f t="shared" si="107"/>
        <v>3.2180271739130433</v>
      </c>
    </row>
    <row r="460" spans="1:25" x14ac:dyDescent="0.25">
      <c r="A460" s="34">
        <f t="shared" ref="A460:B475" si="112">A459+1</f>
        <v>452</v>
      </c>
      <c r="B460" s="35" t="e">
        <f t="shared" si="112"/>
        <v>#REF!</v>
      </c>
      <c r="C460" s="40" t="s">
        <v>137</v>
      </c>
      <c r="D460" s="44" t="s">
        <v>102</v>
      </c>
      <c r="E460" s="43"/>
      <c r="F460" s="36">
        <v>0.40799999999999997</v>
      </c>
      <c r="G460" s="36">
        <v>8.0376000000000003E-2</v>
      </c>
      <c r="H460" s="36">
        <v>0.13170000000000001</v>
      </c>
      <c r="I460" s="37">
        <v>1.9755000000000002E-2</v>
      </c>
      <c r="J460" s="32">
        <f t="shared" si="105"/>
        <v>0.24364500000000003</v>
      </c>
      <c r="K460" s="33">
        <f t="shared" si="108"/>
        <v>3.6546750000000003E-2</v>
      </c>
      <c r="L460" s="33"/>
      <c r="N460" s="15"/>
      <c r="O460" s="2">
        <f t="shared" si="109"/>
        <v>5.4875000000000007E-2</v>
      </c>
      <c r="P460" s="2">
        <f t="shared" si="110"/>
        <v>39.510000000000005</v>
      </c>
      <c r="Q460" s="7">
        <f t="shared" si="111"/>
        <v>178.94021739130437</v>
      </c>
      <c r="R460" s="2">
        <v>1.2</v>
      </c>
      <c r="S460" s="2">
        <f t="shared" si="106"/>
        <v>3.7</v>
      </c>
      <c r="T460" s="2"/>
      <c r="U460" s="2"/>
      <c r="Y460" s="8">
        <f t="shared" si="107"/>
        <v>5.2966304347826094</v>
      </c>
    </row>
    <row r="461" spans="1:25" x14ac:dyDescent="0.25">
      <c r="A461" s="34">
        <f t="shared" si="112"/>
        <v>453</v>
      </c>
      <c r="B461" s="35" t="e">
        <f t="shared" si="112"/>
        <v>#REF!</v>
      </c>
      <c r="C461" s="40" t="s">
        <v>137</v>
      </c>
      <c r="D461" s="41" t="s">
        <v>64</v>
      </c>
      <c r="E461" s="35">
        <v>1</v>
      </c>
      <c r="F461" s="36">
        <f>421678/1000000/2</f>
        <v>0.210839</v>
      </c>
      <c r="G461" s="36">
        <f>F461*0.197</f>
        <v>4.1535282999999999E-2</v>
      </c>
      <c r="H461" s="36">
        <f>120704/1000000</f>
        <v>0.12070400000000001</v>
      </c>
      <c r="I461" s="37">
        <f>H461*0.15</f>
        <v>1.8105599999999999E-2</v>
      </c>
      <c r="J461" s="32">
        <f t="shared" si="105"/>
        <v>0.22330240000000001</v>
      </c>
      <c r="K461" s="33">
        <f t="shared" si="108"/>
        <v>3.3495360000000002E-2</v>
      </c>
      <c r="L461" s="33"/>
      <c r="N461" s="15"/>
      <c r="O461" s="2">
        <f t="shared" si="109"/>
        <v>5.0293333333333336E-2</v>
      </c>
      <c r="P461" s="2">
        <f t="shared" si="110"/>
        <v>36.211200000000005</v>
      </c>
      <c r="Q461" s="7">
        <f t="shared" si="111"/>
        <v>164.00000000000003</v>
      </c>
      <c r="R461" s="2">
        <v>1.2</v>
      </c>
      <c r="S461" s="2">
        <f t="shared" si="106"/>
        <v>3.7</v>
      </c>
      <c r="T461" s="2"/>
      <c r="U461" s="2"/>
      <c r="Y461" s="8">
        <f t="shared" si="107"/>
        <v>4.8544</v>
      </c>
    </row>
    <row r="462" spans="1:25" x14ac:dyDescent="0.25">
      <c r="A462" s="34">
        <f t="shared" si="112"/>
        <v>454</v>
      </c>
      <c r="B462" s="35" t="e">
        <f t="shared" si="112"/>
        <v>#REF!</v>
      </c>
      <c r="C462" s="40" t="s">
        <v>137</v>
      </c>
      <c r="D462" s="41" t="s">
        <v>64</v>
      </c>
      <c r="E462" s="35">
        <v>2</v>
      </c>
      <c r="F462" s="36">
        <f>421678/1000000/2</f>
        <v>0.210839</v>
      </c>
      <c r="G462" s="36">
        <f>F462*0.197</f>
        <v>4.1535282999999999E-2</v>
      </c>
      <c r="H462" s="36"/>
      <c r="I462" s="37"/>
      <c r="J462" s="32">
        <f t="shared" si="105"/>
        <v>0</v>
      </c>
      <c r="K462" s="33">
        <f t="shared" si="108"/>
        <v>0</v>
      </c>
      <c r="L462" s="33"/>
      <c r="N462" s="15"/>
      <c r="O462" s="2">
        <f t="shared" si="109"/>
        <v>0</v>
      </c>
      <c r="P462" s="2">
        <f t="shared" si="110"/>
        <v>0</v>
      </c>
      <c r="Q462" s="7">
        <f t="shared" si="111"/>
        <v>0</v>
      </c>
      <c r="R462" s="2">
        <v>1.2</v>
      </c>
      <c r="S462" s="2">
        <f t="shared" si="106"/>
        <v>4.45</v>
      </c>
      <c r="T462" s="2"/>
      <c r="U462" s="2"/>
      <c r="Y462" s="8">
        <f t="shared" si="107"/>
        <v>0</v>
      </c>
    </row>
    <row r="463" spans="1:25" x14ac:dyDescent="0.25">
      <c r="A463" s="34">
        <f t="shared" si="112"/>
        <v>455</v>
      </c>
      <c r="B463" s="35" t="e">
        <f t="shared" si="112"/>
        <v>#REF!</v>
      </c>
      <c r="C463" s="40" t="s">
        <v>137</v>
      </c>
      <c r="D463" s="41" t="s">
        <v>65</v>
      </c>
      <c r="E463" s="35">
        <v>1</v>
      </c>
      <c r="F463" s="36">
        <f>395279/1000000/2</f>
        <v>0.1976395</v>
      </c>
      <c r="G463" s="36">
        <f>F463*0.197</f>
        <v>3.89349815E-2</v>
      </c>
      <c r="H463" s="36">
        <f>139060/1000000</f>
        <v>0.13905999999999999</v>
      </c>
      <c r="I463" s="37">
        <f>H463*0.15</f>
        <v>2.0858999999999999E-2</v>
      </c>
      <c r="J463" s="32">
        <f t="shared" si="105"/>
        <v>0.25726100000000002</v>
      </c>
      <c r="K463" s="33">
        <f t="shared" si="108"/>
        <v>3.8589150000000003E-2</v>
      </c>
      <c r="L463" s="33"/>
      <c r="N463" s="15"/>
      <c r="O463" s="2">
        <f t="shared" si="109"/>
        <v>5.7941666666666662E-2</v>
      </c>
      <c r="P463" s="2">
        <f t="shared" si="110"/>
        <v>41.717999999999996</v>
      </c>
      <c r="Q463" s="7">
        <f t="shared" si="111"/>
        <v>188.94021739130434</v>
      </c>
      <c r="R463" s="2">
        <v>1.2</v>
      </c>
      <c r="S463" s="2">
        <f t="shared" si="106"/>
        <v>3.7</v>
      </c>
      <c r="T463" s="2"/>
      <c r="U463" s="2"/>
      <c r="Y463" s="8">
        <f t="shared" si="107"/>
        <v>5.5926304347826088</v>
      </c>
    </row>
    <row r="464" spans="1:25" x14ac:dyDescent="0.25">
      <c r="A464" s="34">
        <f t="shared" si="112"/>
        <v>456</v>
      </c>
      <c r="B464" s="35" t="e">
        <f t="shared" si="112"/>
        <v>#REF!</v>
      </c>
      <c r="C464" s="40" t="s">
        <v>137</v>
      </c>
      <c r="D464" s="41" t="s">
        <v>65</v>
      </c>
      <c r="E464" s="35">
        <v>2</v>
      </c>
      <c r="F464" s="36">
        <f>395279/1000000/2</f>
        <v>0.1976395</v>
      </c>
      <c r="G464" s="36">
        <f>F464*0.197</f>
        <v>3.89349815E-2</v>
      </c>
      <c r="H464" s="36"/>
      <c r="I464" s="37"/>
      <c r="J464" s="32">
        <f t="shared" si="105"/>
        <v>0</v>
      </c>
      <c r="K464" s="33">
        <f t="shared" si="108"/>
        <v>0</v>
      </c>
      <c r="L464" s="33"/>
      <c r="N464" s="15"/>
      <c r="O464" s="2">
        <f t="shared" si="109"/>
        <v>0</v>
      </c>
      <c r="P464" s="2">
        <f t="shared" si="110"/>
        <v>0</v>
      </c>
      <c r="Q464" s="7">
        <f t="shared" si="111"/>
        <v>0</v>
      </c>
      <c r="R464" s="2">
        <v>1.2</v>
      </c>
      <c r="S464" s="2">
        <f t="shared" si="106"/>
        <v>4.45</v>
      </c>
      <c r="T464" s="2"/>
      <c r="U464" s="2"/>
      <c r="Y464" s="8">
        <f t="shared" si="107"/>
        <v>0</v>
      </c>
    </row>
    <row r="465" spans="1:25" x14ac:dyDescent="0.25">
      <c r="A465" s="34">
        <f t="shared" si="112"/>
        <v>457</v>
      </c>
      <c r="B465" s="35" t="e">
        <f t="shared" si="112"/>
        <v>#REF!</v>
      </c>
      <c r="C465" s="40" t="s">
        <v>137</v>
      </c>
      <c r="D465" s="44" t="s">
        <v>66</v>
      </c>
      <c r="E465" s="43"/>
      <c r="F465" s="36">
        <v>0.2135</v>
      </c>
      <c r="G465" s="36">
        <v>4.20595E-2</v>
      </c>
      <c r="H465" s="36">
        <v>6.5500000000000003E-2</v>
      </c>
      <c r="I465" s="37">
        <v>9.8250000000000004E-3</v>
      </c>
      <c r="J465" s="32">
        <f t="shared" si="105"/>
        <v>0.14573750000000002</v>
      </c>
      <c r="K465" s="33">
        <f t="shared" si="108"/>
        <v>2.1860625000000002E-2</v>
      </c>
      <c r="L465" s="33"/>
      <c r="N465" s="15"/>
      <c r="O465" s="2">
        <f t="shared" si="109"/>
        <v>2.7291666666666669E-2</v>
      </c>
      <c r="P465" s="2">
        <f t="shared" si="110"/>
        <v>19.650000000000002</v>
      </c>
      <c r="Q465" s="7">
        <f t="shared" si="111"/>
        <v>88.994565217391312</v>
      </c>
      <c r="R465" s="2">
        <v>1.2</v>
      </c>
      <c r="S465" s="2">
        <f t="shared" si="106"/>
        <v>4.45</v>
      </c>
      <c r="T465" s="2"/>
      <c r="U465" s="2"/>
      <c r="Y465" s="8">
        <f t="shared" si="107"/>
        <v>3.1682065217391306</v>
      </c>
    </row>
    <row r="466" spans="1:25" x14ac:dyDescent="0.25">
      <c r="A466" s="34">
        <f t="shared" si="112"/>
        <v>458</v>
      </c>
      <c r="B466" s="35" t="e">
        <f t="shared" si="112"/>
        <v>#REF!</v>
      </c>
      <c r="C466" s="40" t="s">
        <v>137</v>
      </c>
      <c r="D466" s="44" t="s">
        <v>67</v>
      </c>
      <c r="E466" s="43"/>
      <c r="F466" s="36">
        <v>9.5000000000000001E-2</v>
      </c>
      <c r="G466" s="36">
        <v>1.8715000000000002E-2</v>
      </c>
      <c r="H466" s="36">
        <v>2.2800000000000001E-2</v>
      </c>
      <c r="I466" s="37">
        <v>3.4199999999999999E-3</v>
      </c>
      <c r="J466" s="32">
        <f t="shared" si="105"/>
        <v>5.0730000000000011E-2</v>
      </c>
      <c r="K466" s="33">
        <f t="shared" si="108"/>
        <v>7.6095000000000017E-3</v>
      </c>
      <c r="L466" s="33"/>
      <c r="N466" s="15"/>
      <c r="O466" s="2">
        <f t="shared" si="109"/>
        <v>9.5000000000000015E-3</v>
      </c>
      <c r="P466" s="2">
        <f t="shared" si="110"/>
        <v>6.8400000000000007</v>
      </c>
      <c r="Q466" s="7">
        <f t="shared" si="111"/>
        <v>30.978260869565222</v>
      </c>
      <c r="R466" s="2">
        <v>1.2</v>
      </c>
      <c r="S466" s="2">
        <f t="shared" si="106"/>
        <v>4.45</v>
      </c>
      <c r="T466" s="2"/>
      <c r="U466" s="2"/>
      <c r="Y466" s="8">
        <f t="shared" si="107"/>
        <v>1.1028260869565218</v>
      </c>
    </row>
    <row r="467" spans="1:25" x14ac:dyDescent="0.25">
      <c r="A467" s="34">
        <f t="shared" si="112"/>
        <v>459</v>
      </c>
      <c r="B467" s="35" t="e">
        <f t="shared" si="112"/>
        <v>#REF!</v>
      </c>
      <c r="C467" s="40" t="s">
        <v>137</v>
      </c>
      <c r="D467" s="44" t="s">
        <v>68</v>
      </c>
      <c r="E467" s="43"/>
      <c r="F467" s="36">
        <v>0.16450000000000001</v>
      </c>
      <c r="G467" s="36">
        <v>3.2406500000000005E-2</v>
      </c>
      <c r="H467" s="36">
        <v>5.5199999999999999E-2</v>
      </c>
      <c r="I467" s="37">
        <v>8.2799999999999992E-3</v>
      </c>
      <c r="J467" s="32">
        <f t="shared" si="105"/>
        <v>0.12282</v>
      </c>
      <c r="K467" s="33">
        <f t="shared" si="108"/>
        <v>1.8422999999999998E-2</v>
      </c>
      <c r="L467" s="33"/>
      <c r="N467" s="15"/>
      <c r="O467" s="2">
        <f t="shared" si="109"/>
        <v>2.3E-2</v>
      </c>
      <c r="P467" s="2">
        <f t="shared" si="110"/>
        <v>16.560000000000002</v>
      </c>
      <c r="Q467" s="7">
        <f t="shared" si="111"/>
        <v>75.000000000000014</v>
      </c>
      <c r="R467" s="2">
        <v>1.2</v>
      </c>
      <c r="S467" s="2">
        <f t="shared" si="106"/>
        <v>4.45</v>
      </c>
      <c r="T467" s="2"/>
      <c r="U467" s="2"/>
      <c r="Y467" s="8">
        <f t="shared" si="107"/>
        <v>2.67</v>
      </c>
    </row>
    <row r="468" spans="1:25" x14ac:dyDescent="0.25">
      <c r="A468" s="34">
        <f t="shared" si="112"/>
        <v>460</v>
      </c>
      <c r="B468" s="35" t="e">
        <f t="shared" si="112"/>
        <v>#REF!</v>
      </c>
      <c r="C468" s="40" t="s">
        <v>137</v>
      </c>
      <c r="D468" s="44" t="s">
        <v>138</v>
      </c>
      <c r="E468" s="43"/>
      <c r="F468" s="36">
        <v>0.28399999999999997</v>
      </c>
      <c r="G468" s="36">
        <v>5.5947999999999998E-2</v>
      </c>
      <c r="H468" s="36">
        <v>0.13250000000000001</v>
      </c>
      <c r="I468" s="37">
        <v>1.9875E-2</v>
      </c>
      <c r="J468" s="32">
        <f t="shared" si="105"/>
        <v>0.24512500000000004</v>
      </c>
      <c r="K468" s="33">
        <f t="shared" si="108"/>
        <v>3.6768750000000003E-2</v>
      </c>
      <c r="L468" s="33"/>
      <c r="N468" s="15"/>
      <c r="O468" s="2">
        <f t="shared" si="109"/>
        <v>5.5208333333333338E-2</v>
      </c>
      <c r="P468" s="2">
        <f t="shared" si="110"/>
        <v>39.750000000000007</v>
      </c>
      <c r="Q468" s="7">
        <f t="shared" si="111"/>
        <v>180.02717391304353</v>
      </c>
      <c r="R468" s="2">
        <v>1.2</v>
      </c>
      <c r="S468" s="2">
        <f t="shared" si="106"/>
        <v>3.7</v>
      </c>
      <c r="T468" s="2"/>
      <c r="U468" s="2"/>
      <c r="Y468" s="8">
        <f t="shared" si="107"/>
        <v>5.3288043478260878</v>
      </c>
    </row>
    <row r="469" spans="1:25" x14ac:dyDescent="0.25">
      <c r="A469" s="34">
        <f t="shared" si="112"/>
        <v>461</v>
      </c>
      <c r="B469" s="35" t="e">
        <f t="shared" si="112"/>
        <v>#REF!</v>
      </c>
      <c r="C469" s="40" t="s">
        <v>137</v>
      </c>
      <c r="D469" s="44" t="s">
        <v>110</v>
      </c>
      <c r="E469" s="43"/>
      <c r="F469" s="36">
        <v>0.12609999999999999</v>
      </c>
      <c r="G469" s="36">
        <v>2.4841699999999998E-2</v>
      </c>
      <c r="H469" s="36">
        <v>3.6790000000000003E-2</v>
      </c>
      <c r="I469" s="37">
        <v>5.5185E-3</v>
      </c>
      <c r="J469" s="32">
        <f t="shared" si="105"/>
        <v>8.1857750000000007E-2</v>
      </c>
      <c r="K469" s="33">
        <f t="shared" si="108"/>
        <v>1.2278662500000001E-2</v>
      </c>
      <c r="L469" s="33"/>
      <c r="N469" s="15"/>
      <c r="O469" s="2">
        <f t="shared" si="109"/>
        <v>1.5329166666666668E-2</v>
      </c>
      <c r="P469" s="2">
        <f t="shared" si="110"/>
        <v>11.037000000000001</v>
      </c>
      <c r="Q469" s="7">
        <f t="shared" si="111"/>
        <v>49.986413043478265</v>
      </c>
      <c r="R469" s="2">
        <v>1.2</v>
      </c>
      <c r="S469" s="2">
        <f t="shared" si="106"/>
        <v>4.45</v>
      </c>
      <c r="T469" s="2"/>
      <c r="U469" s="2"/>
      <c r="Y469" s="8">
        <f t="shared" si="107"/>
        <v>1.7795163043478264</v>
      </c>
    </row>
    <row r="470" spans="1:25" x14ac:dyDescent="0.25">
      <c r="A470" s="34">
        <f t="shared" si="112"/>
        <v>462</v>
      </c>
      <c r="B470" s="35" t="e">
        <f>B469+1</f>
        <v>#REF!</v>
      </c>
      <c r="C470" s="40" t="s">
        <v>137</v>
      </c>
      <c r="D470" s="44" t="s">
        <v>113</v>
      </c>
      <c r="E470" s="43"/>
      <c r="F470" s="36">
        <v>0.20846999999999999</v>
      </c>
      <c r="G470" s="36">
        <v>4.1068590000000002E-2</v>
      </c>
      <c r="H470" s="36">
        <v>6.2560000000000004E-2</v>
      </c>
      <c r="I470" s="37">
        <v>9.384E-3</v>
      </c>
      <c r="J470" s="32">
        <f t="shared" si="105"/>
        <v>0.13919600000000001</v>
      </c>
      <c r="K470" s="33">
        <f t="shared" si="108"/>
        <v>2.0879400000000003E-2</v>
      </c>
      <c r="L470" s="33"/>
      <c r="N470" s="15"/>
      <c r="O470" s="2">
        <f t="shared" si="109"/>
        <v>2.6066666666666669E-2</v>
      </c>
      <c r="P470" s="2">
        <f t="shared" si="110"/>
        <v>18.768000000000001</v>
      </c>
      <c r="Q470" s="7">
        <f t="shared" si="111"/>
        <v>85</v>
      </c>
      <c r="R470" s="2">
        <v>1.2</v>
      </c>
      <c r="S470" s="2">
        <f t="shared" si="106"/>
        <v>4.45</v>
      </c>
      <c r="T470" s="2"/>
      <c r="U470" s="2"/>
      <c r="Y470" s="8">
        <f t="shared" si="107"/>
        <v>3.0260000000000007</v>
      </c>
    </row>
    <row r="471" spans="1:25" x14ac:dyDescent="0.25">
      <c r="A471" s="34">
        <f t="shared" si="112"/>
        <v>463</v>
      </c>
      <c r="B471" s="35" t="e">
        <f>B470+1</f>
        <v>#REF!</v>
      </c>
      <c r="C471" s="40" t="s">
        <v>137</v>
      </c>
      <c r="D471" s="44" t="s">
        <v>114</v>
      </c>
      <c r="E471" s="43"/>
      <c r="F471" s="36">
        <v>9.5799999999999996E-2</v>
      </c>
      <c r="G471" s="36">
        <v>1.88726E-2</v>
      </c>
      <c r="H471" s="36">
        <v>2.7900000000000001E-2</v>
      </c>
      <c r="I471" s="37">
        <v>4.1850000000000004E-3</v>
      </c>
      <c r="J471" s="32">
        <f t="shared" si="105"/>
        <v>6.2077500000000015E-2</v>
      </c>
      <c r="K471" s="33">
        <f t="shared" si="108"/>
        <v>9.3116250000000022E-3</v>
      </c>
      <c r="L471" s="33"/>
      <c r="N471" s="15"/>
      <c r="O471" s="2">
        <f t="shared" si="109"/>
        <v>1.1625000000000002E-2</v>
      </c>
      <c r="P471" s="2">
        <f t="shared" si="110"/>
        <v>8.370000000000001</v>
      </c>
      <c r="Q471" s="7">
        <f t="shared" si="111"/>
        <v>37.907608695652179</v>
      </c>
      <c r="R471" s="2">
        <v>1.2</v>
      </c>
      <c r="S471" s="2">
        <f t="shared" si="106"/>
        <v>4.45</v>
      </c>
      <c r="T471" s="2"/>
      <c r="U471" s="2"/>
      <c r="Y471" s="8">
        <f t="shared" si="107"/>
        <v>1.3495108695652178</v>
      </c>
    </row>
    <row r="472" spans="1:25" x14ac:dyDescent="0.25">
      <c r="A472" s="34">
        <f t="shared" si="112"/>
        <v>464</v>
      </c>
      <c r="B472" s="35" t="e">
        <f>B471+1</f>
        <v>#REF!</v>
      </c>
      <c r="C472" s="40" t="s">
        <v>137</v>
      </c>
      <c r="D472" s="44" t="s">
        <v>69</v>
      </c>
      <c r="E472" s="43"/>
      <c r="F472" s="36">
        <v>0.16470000000000001</v>
      </c>
      <c r="G472" s="36">
        <v>3.2445900000000007E-2</v>
      </c>
      <c r="H472" s="36">
        <v>5.45E-2</v>
      </c>
      <c r="I472" s="37">
        <v>8.175E-3</v>
      </c>
      <c r="J472" s="32">
        <f t="shared" si="105"/>
        <v>0.12126250000000001</v>
      </c>
      <c r="K472" s="33">
        <f t="shared" si="108"/>
        <v>1.8189375000000001E-2</v>
      </c>
      <c r="L472" s="33"/>
      <c r="N472" s="15"/>
      <c r="O472" s="2">
        <f t="shared" si="109"/>
        <v>2.2708333333333334E-2</v>
      </c>
      <c r="P472" s="2">
        <f t="shared" si="110"/>
        <v>16.350000000000001</v>
      </c>
      <c r="Q472" s="7">
        <f t="shared" si="111"/>
        <v>74.048913043478265</v>
      </c>
      <c r="R472" s="2">
        <v>1.2</v>
      </c>
      <c r="S472" s="2">
        <f t="shared" si="106"/>
        <v>4.45</v>
      </c>
      <c r="T472" s="2"/>
      <c r="U472" s="2"/>
      <c r="Y472" s="8">
        <f t="shared" si="107"/>
        <v>2.6361413043478263</v>
      </c>
    </row>
    <row r="473" spans="1:25" x14ac:dyDescent="0.25">
      <c r="A473" s="34">
        <f t="shared" si="112"/>
        <v>465</v>
      </c>
      <c r="B473" s="35"/>
      <c r="C473" s="40" t="s">
        <v>137</v>
      </c>
      <c r="D473" s="35">
        <v>42</v>
      </c>
      <c r="E473" s="35"/>
      <c r="F473" s="36">
        <f>207000/1000000</f>
        <v>0.20699999999999999</v>
      </c>
      <c r="G473" s="36">
        <f>F473*0.197</f>
        <v>4.0779000000000003E-2</v>
      </c>
      <c r="H473" s="36">
        <f>84640/1000000</f>
        <v>8.4640000000000007E-2</v>
      </c>
      <c r="I473" s="37">
        <f>H473*0.15</f>
        <v>1.2696000000000001E-2</v>
      </c>
      <c r="J473" s="32">
        <f t="shared" si="105"/>
        <v>0.18832400000000002</v>
      </c>
      <c r="K473" s="33">
        <f t="shared" si="108"/>
        <v>2.8248600000000002E-2</v>
      </c>
      <c r="L473" s="33"/>
      <c r="N473" s="15"/>
      <c r="O473" s="2">
        <f t="shared" si="109"/>
        <v>3.5266666666666668E-2</v>
      </c>
      <c r="P473" s="2">
        <f t="shared" si="110"/>
        <v>25.392000000000003</v>
      </c>
      <c r="Q473" s="7">
        <f t="shared" si="111"/>
        <v>115.00000000000001</v>
      </c>
      <c r="R473" s="2">
        <v>1.2</v>
      </c>
      <c r="S473" s="2">
        <f t="shared" si="106"/>
        <v>4.45</v>
      </c>
      <c r="T473" s="2"/>
      <c r="U473" s="2"/>
      <c r="Y473" s="8">
        <f t="shared" si="107"/>
        <v>4.0940000000000003</v>
      </c>
    </row>
    <row r="474" spans="1:25" x14ac:dyDescent="0.25">
      <c r="A474" s="34">
        <f t="shared" si="112"/>
        <v>466</v>
      </c>
      <c r="B474" s="35"/>
      <c r="C474" s="40" t="s">
        <v>137</v>
      </c>
      <c r="D474" s="41" t="s">
        <v>71</v>
      </c>
      <c r="E474" s="35"/>
      <c r="F474" s="36">
        <f>72614/1000000</f>
        <v>7.2613999999999998E-2</v>
      </c>
      <c r="G474" s="36">
        <f>F474*0.197</f>
        <v>1.4304958E-2</v>
      </c>
      <c r="H474" s="36">
        <f>27233/1000000</f>
        <v>2.7233E-2</v>
      </c>
      <c r="I474" s="37">
        <f>H474*0.15</f>
        <v>4.0849499999999995E-3</v>
      </c>
      <c r="J474" s="32">
        <f t="shared" si="105"/>
        <v>6.0593425000000006E-2</v>
      </c>
      <c r="K474" s="33">
        <f t="shared" si="108"/>
        <v>9.0890137500000013E-3</v>
      </c>
      <c r="L474" s="33"/>
      <c r="N474" s="15"/>
      <c r="O474" s="2">
        <f t="shared" si="109"/>
        <v>1.1347083333333334E-2</v>
      </c>
      <c r="P474" s="2">
        <f t="shared" si="110"/>
        <v>8.1699000000000002</v>
      </c>
      <c r="Q474" s="7">
        <f t="shared" si="111"/>
        <v>37.001358695652172</v>
      </c>
      <c r="R474" s="2">
        <v>1.2</v>
      </c>
      <c r="S474" s="2">
        <f t="shared" si="106"/>
        <v>4.45</v>
      </c>
      <c r="T474" s="2"/>
      <c r="U474" s="2"/>
      <c r="Y474" s="8">
        <f t="shared" si="107"/>
        <v>1.3172483695652175</v>
      </c>
    </row>
    <row r="475" spans="1:25" x14ac:dyDescent="0.25">
      <c r="A475" s="34">
        <f t="shared" si="112"/>
        <v>467</v>
      </c>
      <c r="B475" s="35"/>
      <c r="C475" s="40" t="s">
        <v>137</v>
      </c>
      <c r="D475" s="41" t="s">
        <v>72</v>
      </c>
      <c r="E475" s="35"/>
      <c r="F475" s="36">
        <f>158794/1000000</f>
        <v>0.15879399999999999</v>
      </c>
      <c r="G475" s="36">
        <f>F475*0.197</f>
        <v>3.1282417999999999E-2</v>
      </c>
      <c r="H475" s="36">
        <f>61087/1000000</f>
        <v>6.1087000000000002E-2</v>
      </c>
      <c r="I475" s="37">
        <f>H475*0.15</f>
        <v>9.1630500000000007E-3</v>
      </c>
      <c r="J475" s="32">
        <f t="shared" si="105"/>
        <v>0.13591857500000001</v>
      </c>
      <c r="K475" s="33">
        <f t="shared" si="108"/>
        <v>2.0387786250000001E-2</v>
      </c>
      <c r="L475" s="33"/>
      <c r="N475" s="15"/>
      <c r="O475" s="2">
        <f t="shared" si="109"/>
        <v>2.5452916666666669E-2</v>
      </c>
      <c r="P475" s="2">
        <f t="shared" si="110"/>
        <v>18.3261</v>
      </c>
      <c r="Q475" s="7">
        <f t="shared" si="111"/>
        <v>82.998641304347828</v>
      </c>
      <c r="R475" s="2">
        <v>1.2</v>
      </c>
      <c r="S475" s="2">
        <f t="shared" si="106"/>
        <v>4.45</v>
      </c>
      <c r="T475" s="2"/>
      <c r="U475" s="2"/>
      <c r="Y475" s="8">
        <f t="shared" si="107"/>
        <v>2.9547516304347829</v>
      </c>
    </row>
    <row r="476" spans="1:25" x14ac:dyDescent="0.25">
      <c r="A476" s="34">
        <f t="shared" ref="A476:B491" si="113">A475+1</f>
        <v>468</v>
      </c>
      <c r="B476" s="35"/>
      <c r="C476" s="40" t="s">
        <v>137</v>
      </c>
      <c r="D476" s="35">
        <v>45</v>
      </c>
      <c r="E476" s="35"/>
      <c r="F476" s="36">
        <f>103500/1000000</f>
        <v>0.10349999999999999</v>
      </c>
      <c r="G476" s="36">
        <f>F476*0.197</f>
        <v>2.0389500000000001E-2</v>
      </c>
      <c r="H476" s="36">
        <f>41952/1000000</f>
        <v>4.1952000000000003E-2</v>
      </c>
      <c r="I476" s="37">
        <f>H476*0.15</f>
        <v>6.2928000000000003E-3</v>
      </c>
      <c r="J476" s="32">
        <f t="shared" si="105"/>
        <v>9.3343200000000015E-2</v>
      </c>
      <c r="K476" s="33">
        <f t="shared" si="108"/>
        <v>1.4001480000000002E-2</v>
      </c>
      <c r="L476" s="33"/>
      <c r="N476" s="15"/>
      <c r="O476" s="2">
        <f t="shared" si="109"/>
        <v>1.7480000000000002E-2</v>
      </c>
      <c r="P476" s="2">
        <f t="shared" si="110"/>
        <v>12.585600000000001</v>
      </c>
      <c r="Q476" s="7">
        <f t="shared" si="111"/>
        <v>57.000000000000007</v>
      </c>
      <c r="R476" s="2">
        <v>1.2</v>
      </c>
      <c r="S476" s="2">
        <f t="shared" si="106"/>
        <v>4.45</v>
      </c>
      <c r="T476" s="2"/>
      <c r="U476" s="2"/>
      <c r="Y476" s="8">
        <f t="shared" si="107"/>
        <v>2.0292000000000003</v>
      </c>
    </row>
    <row r="477" spans="1:25" x14ac:dyDescent="0.25">
      <c r="A477" s="34">
        <f t="shared" si="113"/>
        <v>469</v>
      </c>
      <c r="B477" s="35"/>
      <c r="C477" s="40" t="s">
        <v>137</v>
      </c>
      <c r="D477" s="35">
        <v>46</v>
      </c>
      <c r="E477" s="35">
        <v>1</v>
      </c>
      <c r="F477" s="36">
        <f>414000/1000000/2</f>
        <v>0.20699999999999999</v>
      </c>
      <c r="G477" s="36">
        <f>F478*0.197</f>
        <v>4.0779000000000003E-2</v>
      </c>
      <c r="H477" s="36">
        <f>167808/1000000</f>
        <v>0.16780800000000001</v>
      </c>
      <c r="I477" s="37">
        <f>H477*0.15</f>
        <v>2.5171200000000001E-2</v>
      </c>
      <c r="J477" s="32">
        <f t="shared" si="105"/>
        <v>0.31044480000000002</v>
      </c>
      <c r="K477" s="33">
        <f t="shared" si="108"/>
        <v>4.6566719999999999E-2</v>
      </c>
      <c r="L477" s="33"/>
      <c r="N477" s="15"/>
      <c r="O477" s="2">
        <f t="shared" si="109"/>
        <v>6.992000000000001E-2</v>
      </c>
      <c r="P477" s="2">
        <f t="shared" si="110"/>
        <v>50.342400000000005</v>
      </c>
      <c r="Q477" s="7">
        <f t="shared" si="111"/>
        <v>228.00000000000003</v>
      </c>
      <c r="R477" s="2">
        <v>1.2</v>
      </c>
      <c r="S477" s="2">
        <f t="shared" si="106"/>
        <v>3.7</v>
      </c>
      <c r="T477" s="2"/>
      <c r="U477" s="2"/>
      <c r="Y477" s="8">
        <f t="shared" si="107"/>
        <v>6.7488000000000001</v>
      </c>
    </row>
    <row r="478" spans="1:25" x14ac:dyDescent="0.25">
      <c r="A478" s="34">
        <f t="shared" si="113"/>
        <v>470</v>
      </c>
      <c r="B478" s="35"/>
      <c r="C478" s="40" t="s">
        <v>137</v>
      </c>
      <c r="D478" s="35">
        <v>46</v>
      </c>
      <c r="E478" s="35">
        <v>2</v>
      </c>
      <c r="F478" s="36">
        <f>414000/1000000/2</f>
        <v>0.20699999999999999</v>
      </c>
      <c r="G478" s="36">
        <v>4.0800000000000003E-2</v>
      </c>
      <c r="H478" s="36"/>
      <c r="I478" s="37"/>
      <c r="J478" s="32">
        <f t="shared" si="105"/>
        <v>0</v>
      </c>
      <c r="K478" s="33">
        <f t="shared" si="108"/>
        <v>0</v>
      </c>
      <c r="L478" s="33"/>
      <c r="N478" s="15"/>
      <c r="O478" s="2">
        <f t="shared" si="109"/>
        <v>0</v>
      </c>
      <c r="P478" s="2">
        <f t="shared" si="110"/>
        <v>0</v>
      </c>
      <c r="Q478" s="7">
        <f t="shared" si="111"/>
        <v>0</v>
      </c>
      <c r="R478" s="2">
        <v>1.2</v>
      </c>
      <c r="S478" s="2">
        <f t="shared" si="106"/>
        <v>4.45</v>
      </c>
      <c r="T478" s="2"/>
      <c r="U478" s="2"/>
      <c r="Y478" s="8">
        <f t="shared" si="107"/>
        <v>0</v>
      </c>
    </row>
    <row r="479" spans="1:25" x14ac:dyDescent="0.25">
      <c r="A479" s="34">
        <f t="shared" si="113"/>
        <v>471</v>
      </c>
      <c r="B479" s="35"/>
      <c r="C479" s="40" t="s">
        <v>137</v>
      </c>
      <c r="D479" s="35">
        <v>48</v>
      </c>
      <c r="E479" s="35"/>
      <c r="F479" s="36">
        <f>207000/1000000</f>
        <v>0.20699999999999999</v>
      </c>
      <c r="G479" s="36">
        <f t="shared" ref="G479:G484" si="114">F479*0.197</f>
        <v>4.0779000000000003E-2</v>
      </c>
      <c r="H479" s="36">
        <f>82432/1000000</f>
        <v>8.2432000000000005E-2</v>
      </c>
      <c r="I479" s="37">
        <f t="shared" ref="I479:I484" si="115">H479*0.15</f>
        <v>1.23648E-2</v>
      </c>
      <c r="J479" s="32">
        <f t="shared" si="105"/>
        <v>0.18341120000000002</v>
      </c>
      <c r="K479" s="33">
        <f t="shared" si="108"/>
        <v>2.7511680000000004E-2</v>
      </c>
      <c r="L479" s="33"/>
      <c r="N479" s="15"/>
      <c r="O479" s="2">
        <f t="shared" si="109"/>
        <v>3.4346666666666671E-2</v>
      </c>
      <c r="P479" s="2">
        <f t="shared" si="110"/>
        <v>24.729600000000005</v>
      </c>
      <c r="Q479" s="7">
        <f t="shared" si="111"/>
        <v>112.00000000000003</v>
      </c>
      <c r="R479" s="2">
        <v>1.2</v>
      </c>
      <c r="S479" s="2">
        <f t="shared" si="106"/>
        <v>4.45</v>
      </c>
      <c r="T479" s="2"/>
      <c r="U479" s="2"/>
      <c r="Y479" s="8">
        <f t="shared" si="107"/>
        <v>3.9872000000000005</v>
      </c>
    </row>
    <row r="480" spans="1:25" x14ac:dyDescent="0.25">
      <c r="A480" s="34">
        <f t="shared" si="113"/>
        <v>472</v>
      </c>
      <c r="B480" s="35"/>
      <c r="C480" s="40" t="s">
        <v>137</v>
      </c>
      <c r="D480" s="35">
        <v>49</v>
      </c>
      <c r="E480" s="35"/>
      <c r="F480" s="36">
        <f>207000/1000000</f>
        <v>0.20699999999999999</v>
      </c>
      <c r="G480" s="36">
        <f t="shared" si="114"/>
        <v>4.0779000000000003E-2</v>
      </c>
      <c r="H480" s="36">
        <f>74336/1000000</f>
        <v>7.4335999999999999E-2</v>
      </c>
      <c r="I480" s="37">
        <f t="shared" si="115"/>
        <v>1.11504E-2</v>
      </c>
      <c r="J480" s="32">
        <f t="shared" si="105"/>
        <v>0.16539760000000001</v>
      </c>
      <c r="K480" s="33">
        <f t="shared" si="108"/>
        <v>2.4809640000000001E-2</v>
      </c>
      <c r="L480" s="33"/>
      <c r="N480" s="15"/>
      <c r="O480" s="2">
        <f t="shared" si="109"/>
        <v>3.0973333333333335E-2</v>
      </c>
      <c r="P480" s="2">
        <f t="shared" si="110"/>
        <v>22.300800000000002</v>
      </c>
      <c r="Q480" s="7">
        <f t="shared" si="111"/>
        <v>101.00000000000001</v>
      </c>
      <c r="R480" s="2">
        <v>1.2</v>
      </c>
      <c r="S480" s="2">
        <f t="shared" si="106"/>
        <v>4.45</v>
      </c>
      <c r="T480" s="2"/>
      <c r="U480" s="2"/>
      <c r="Y480" s="8">
        <f t="shared" si="107"/>
        <v>3.5956000000000001</v>
      </c>
    </row>
    <row r="481" spans="1:25" x14ac:dyDescent="0.25">
      <c r="A481" s="34">
        <f t="shared" si="113"/>
        <v>473</v>
      </c>
      <c r="B481" s="35"/>
      <c r="C481" s="40" t="s">
        <v>137</v>
      </c>
      <c r="D481" s="35">
        <v>50</v>
      </c>
      <c r="E481" s="35"/>
      <c r="F481" s="36">
        <f>79000/1000000</f>
        <v>7.9000000000000001E-2</v>
      </c>
      <c r="G481" s="36">
        <f t="shared" si="114"/>
        <v>1.5563E-2</v>
      </c>
      <c r="H481" s="36">
        <f>25760/1000000</f>
        <v>2.5760000000000002E-2</v>
      </c>
      <c r="I481" s="37">
        <f t="shared" si="115"/>
        <v>3.8640000000000002E-3</v>
      </c>
      <c r="J481" s="32">
        <f t="shared" si="105"/>
        <v>5.7316000000000006E-2</v>
      </c>
      <c r="K481" s="33">
        <f t="shared" si="108"/>
        <v>8.5973999999999998E-3</v>
      </c>
      <c r="L481" s="33"/>
      <c r="N481" s="15"/>
      <c r="O481" s="2">
        <f t="shared" si="109"/>
        <v>1.0733333333333334E-2</v>
      </c>
      <c r="P481" s="2">
        <f t="shared" si="110"/>
        <v>7.7280000000000015</v>
      </c>
      <c r="Q481" s="7">
        <f t="shared" si="111"/>
        <v>35.000000000000007</v>
      </c>
      <c r="R481" s="2">
        <v>1.2</v>
      </c>
      <c r="S481" s="2">
        <f t="shared" si="106"/>
        <v>4.45</v>
      </c>
      <c r="T481" s="2"/>
      <c r="U481" s="2"/>
      <c r="Y481" s="8">
        <f t="shared" si="107"/>
        <v>1.2460000000000002</v>
      </c>
    </row>
    <row r="482" spans="1:25" x14ac:dyDescent="0.25">
      <c r="A482" s="34">
        <f t="shared" si="113"/>
        <v>474</v>
      </c>
      <c r="B482" s="35"/>
      <c r="C482" s="40" t="s">
        <v>137</v>
      </c>
      <c r="D482" s="35">
        <v>51</v>
      </c>
      <c r="E482" s="35"/>
      <c r="F482" s="36">
        <f>210130/1000000</f>
        <v>0.21013000000000001</v>
      </c>
      <c r="G482" s="36">
        <f t="shared" si="114"/>
        <v>4.1395610000000006E-2</v>
      </c>
      <c r="H482" s="36">
        <f>75808/1000000</f>
        <v>7.5808E-2</v>
      </c>
      <c r="I482" s="37">
        <f t="shared" si="115"/>
        <v>1.13712E-2</v>
      </c>
      <c r="J482" s="32">
        <f t="shared" si="105"/>
        <v>0.16867280000000001</v>
      </c>
      <c r="K482" s="33">
        <f t="shared" si="108"/>
        <v>2.5300920000000001E-2</v>
      </c>
      <c r="L482" s="33"/>
      <c r="N482" s="15"/>
      <c r="O482" s="2">
        <f t="shared" si="109"/>
        <v>3.1586666666666666E-2</v>
      </c>
      <c r="P482" s="2">
        <f t="shared" si="110"/>
        <v>22.7424</v>
      </c>
      <c r="Q482" s="7">
        <f t="shared" si="111"/>
        <v>103</v>
      </c>
      <c r="R482" s="2">
        <v>1.2</v>
      </c>
      <c r="S482" s="2">
        <f t="shared" si="106"/>
        <v>4.45</v>
      </c>
      <c r="T482" s="2"/>
      <c r="U482" s="2"/>
      <c r="Y482" s="8">
        <f t="shared" si="107"/>
        <v>3.6668000000000003</v>
      </c>
    </row>
    <row r="483" spans="1:25" x14ac:dyDescent="0.25">
      <c r="A483" s="34">
        <f t="shared" si="113"/>
        <v>475</v>
      </c>
      <c r="B483" s="35"/>
      <c r="C483" s="40" t="s">
        <v>137</v>
      </c>
      <c r="D483" s="35">
        <v>52</v>
      </c>
      <c r="E483" s="35"/>
      <c r="F483" s="36">
        <f>142980/1000000</f>
        <v>0.14298</v>
      </c>
      <c r="G483" s="36">
        <f t="shared" si="114"/>
        <v>2.8167060000000001E-2</v>
      </c>
      <c r="H483" s="36">
        <f>57408/1000000</f>
        <v>5.7408000000000001E-2</v>
      </c>
      <c r="I483" s="37">
        <f t="shared" si="115"/>
        <v>8.6111999999999994E-3</v>
      </c>
      <c r="J483" s="32">
        <f t="shared" si="105"/>
        <v>0.12773280000000001</v>
      </c>
      <c r="K483" s="33">
        <f t="shared" si="108"/>
        <v>1.915992E-2</v>
      </c>
      <c r="L483" s="33"/>
      <c r="N483" s="15"/>
      <c r="O483" s="2">
        <f t="shared" si="109"/>
        <v>2.392E-2</v>
      </c>
      <c r="P483" s="2">
        <f t="shared" si="110"/>
        <v>17.2224</v>
      </c>
      <c r="Q483" s="7">
        <f t="shared" si="111"/>
        <v>78</v>
      </c>
      <c r="R483" s="2">
        <v>1.2</v>
      </c>
      <c r="S483" s="2">
        <f t="shared" si="106"/>
        <v>4.45</v>
      </c>
      <c r="T483" s="2"/>
      <c r="U483" s="2"/>
      <c r="Y483" s="8">
        <f t="shared" si="107"/>
        <v>2.7768000000000002</v>
      </c>
    </row>
    <row r="484" spans="1:25" x14ac:dyDescent="0.25">
      <c r="A484" s="34">
        <f t="shared" si="113"/>
        <v>476</v>
      </c>
      <c r="B484" s="35"/>
      <c r="C484" s="40" t="s">
        <v>137</v>
      </c>
      <c r="D484" s="35">
        <v>53</v>
      </c>
      <c r="E484" s="35"/>
      <c r="F484" s="36">
        <f>78300/1000000</f>
        <v>7.8299999999999995E-2</v>
      </c>
      <c r="G484" s="36">
        <f t="shared" si="114"/>
        <v>1.5425099999999999E-2</v>
      </c>
      <c r="H484" s="36">
        <f>24288/1000000</f>
        <v>2.4288000000000001E-2</v>
      </c>
      <c r="I484" s="37">
        <f t="shared" si="115"/>
        <v>3.6432000000000001E-3</v>
      </c>
      <c r="J484" s="32">
        <f t="shared" si="105"/>
        <v>5.40408E-2</v>
      </c>
      <c r="K484" s="33">
        <f t="shared" si="108"/>
        <v>8.1061199999999996E-3</v>
      </c>
      <c r="L484" s="33"/>
      <c r="N484" s="15"/>
      <c r="O484" s="2">
        <f t="shared" si="109"/>
        <v>1.0120000000000001E-2</v>
      </c>
      <c r="P484" s="2">
        <f t="shared" si="110"/>
        <v>7.2864000000000004</v>
      </c>
      <c r="Q484" s="7">
        <f t="shared" si="111"/>
        <v>33</v>
      </c>
      <c r="R484" s="2">
        <v>1.2</v>
      </c>
      <c r="S484" s="2">
        <f t="shared" si="106"/>
        <v>4.45</v>
      </c>
      <c r="T484" s="2"/>
      <c r="U484" s="2"/>
      <c r="Y484" s="8">
        <f t="shared" si="107"/>
        <v>1.1747999999999998</v>
      </c>
    </row>
    <row r="485" spans="1:25" x14ac:dyDescent="0.25">
      <c r="A485" s="34">
        <f t="shared" si="113"/>
        <v>477</v>
      </c>
      <c r="B485" s="35" t="e">
        <f>#REF!+1</f>
        <v>#REF!</v>
      </c>
      <c r="C485" s="40" t="s">
        <v>137</v>
      </c>
      <c r="D485" s="44" t="s">
        <v>139</v>
      </c>
      <c r="E485" s="43"/>
      <c r="F485" s="36">
        <v>0.22900000000000001</v>
      </c>
      <c r="G485" s="36">
        <v>4.5113E-2</v>
      </c>
      <c r="H485" s="36">
        <v>0.10581</v>
      </c>
      <c r="I485" s="37">
        <v>1.58715E-2</v>
      </c>
      <c r="J485" s="32">
        <f t="shared" si="105"/>
        <v>0.23542725</v>
      </c>
      <c r="K485" s="33">
        <f t="shared" si="108"/>
        <v>3.5314087500000001E-2</v>
      </c>
      <c r="L485" s="33"/>
      <c r="N485" s="15"/>
      <c r="O485" s="2">
        <f t="shared" si="109"/>
        <v>4.4087500000000002E-2</v>
      </c>
      <c r="P485" s="2">
        <f t="shared" si="110"/>
        <v>31.743000000000002</v>
      </c>
      <c r="Q485" s="7">
        <f t="shared" si="111"/>
        <v>143.76358695652175</v>
      </c>
      <c r="R485" s="2">
        <v>1.2</v>
      </c>
      <c r="S485" s="2">
        <f t="shared" si="106"/>
        <v>4.45</v>
      </c>
      <c r="T485" s="2"/>
      <c r="U485" s="2"/>
      <c r="Y485" s="8">
        <f t="shared" si="107"/>
        <v>5.1179836956521747</v>
      </c>
    </row>
    <row r="486" spans="1:25" x14ac:dyDescent="0.25">
      <c r="A486" s="34">
        <f t="shared" si="113"/>
        <v>478</v>
      </c>
      <c r="B486" s="35" t="e">
        <f t="shared" si="113"/>
        <v>#REF!</v>
      </c>
      <c r="C486" s="40" t="s">
        <v>137</v>
      </c>
      <c r="D486" s="41" t="s">
        <v>140</v>
      </c>
      <c r="E486" s="35"/>
      <c r="F486" s="36">
        <f>427447/1000000</f>
        <v>0.42744700000000002</v>
      </c>
      <c r="G486" s="36">
        <f>F486*0.197</f>
        <v>8.4207059000000015E-2</v>
      </c>
      <c r="H486" s="36">
        <f>144930/1000000</f>
        <v>0.14493</v>
      </c>
      <c r="I486" s="37">
        <f>H486*0.15</f>
        <v>2.1739499999999998E-2</v>
      </c>
      <c r="J486" s="32">
        <f t="shared" si="105"/>
        <v>0.26812050000000004</v>
      </c>
      <c r="K486" s="33">
        <f t="shared" si="108"/>
        <v>4.0218075000000006E-2</v>
      </c>
      <c r="L486" s="33"/>
      <c r="N486" s="15"/>
      <c r="O486" s="2">
        <f t="shared" si="109"/>
        <v>6.0387500000000004E-2</v>
      </c>
      <c r="P486" s="2">
        <f t="shared" si="110"/>
        <v>43.478999999999999</v>
      </c>
      <c r="Q486" s="7">
        <f t="shared" si="111"/>
        <v>196.91576086956522</v>
      </c>
      <c r="R486" s="2">
        <v>1.2</v>
      </c>
      <c r="S486" s="2">
        <f t="shared" si="106"/>
        <v>3.7</v>
      </c>
      <c r="T486" s="2"/>
      <c r="U486" s="2"/>
      <c r="Y486" s="8">
        <f t="shared" si="107"/>
        <v>5.8287065217391314</v>
      </c>
    </row>
    <row r="487" spans="1:25" x14ac:dyDescent="0.25">
      <c r="A487" s="34">
        <f t="shared" si="113"/>
        <v>479</v>
      </c>
      <c r="B487" s="35" t="e">
        <f t="shared" si="113"/>
        <v>#REF!</v>
      </c>
      <c r="C487" s="40" t="s">
        <v>137</v>
      </c>
      <c r="D487" s="44" t="s">
        <v>141</v>
      </c>
      <c r="E487" s="43"/>
      <c r="F487" s="36">
        <v>0.20849999999999999</v>
      </c>
      <c r="G487" s="36">
        <v>4.10745E-2</v>
      </c>
      <c r="H487" s="36">
        <v>5.5199999999999999E-2</v>
      </c>
      <c r="I487" s="37">
        <v>8.2799999999999992E-3</v>
      </c>
      <c r="J487" s="32">
        <f t="shared" si="105"/>
        <v>0.12282</v>
      </c>
      <c r="K487" s="33">
        <f t="shared" si="108"/>
        <v>1.8422999999999998E-2</v>
      </c>
      <c r="L487" s="33"/>
      <c r="N487" s="15"/>
      <c r="O487" s="2">
        <f t="shared" si="109"/>
        <v>2.3E-2</v>
      </c>
      <c r="P487" s="2">
        <f t="shared" si="110"/>
        <v>16.560000000000002</v>
      </c>
      <c r="Q487" s="7">
        <f t="shared" si="111"/>
        <v>75.000000000000014</v>
      </c>
      <c r="R487" s="2">
        <v>1.2</v>
      </c>
      <c r="S487" s="2">
        <f t="shared" si="106"/>
        <v>4.45</v>
      </c>
      <c r="T487" s="2"/>
      <c r="U487" s="2"/>
      <c r="Y487" s="8">
        <f t="shared" si="107"/>
        <v>2.67</v>
      </c>
    </row>
    <row r="488" spans="1:25" x14ac:dyDescent="0.25">
      <c r="A488" s="34">
        <f t="shared" si="113"/>
        <v>480</v>
      </c>
      <c r="B488" s="35" t="e">
        <f t="shared" si="113"/>
        <v>#REF!</v>
      </c>
      <c r="C488" s="40" t="s">
        <v>137</v>
      </c>
      <c r="D488" s="44" t="s">
        <v>142</v>
      </c>
      <c r="E488" s="43"/>
      <c r="F488" s="36">
        <v>0.20849999999999999</v>
      </c>
      <c r="G488" s="36">
        <v>4.10745E-2</v>
      </c>
      <c r="H488" s="36">
        <v>6.4000000000000001E-2</v>
      </c>
      <c r="I488" s="37">
        <v>9.5999999999999992E-3</v>
      </c>
      <c r="J488" s="32">
        <f t="shared" si="105"/>
        <v>0.1424</v>
      </c>
      <c r="K488" s="33">
        <f t="shared" si="108"/>
        <v>2.1360000000000001E-2</v>
      </c>
      <c r="L488" s="33"/>
      <c r="N488" s="15"/>
      <c r="O488" s="2">
        <f t="shared" si="109"/>
        <v>2.6666666666666668E-2</v>
      </c>
      <c r="P488" s="2">
        <f t="shared" si="110"/>
        <v>19.2</v>
      </c>
      <c r="Q488" s="7">
        <f t="shared" si="111"/>
        <v>86.956521739130437</v>
      </c>
      <c r="R488" s="2">
        <v>1.2</v>
      </c>
      <c r="S488" s="2">
        <f t="shared" si="106"/>
        <v>4.45</v>
      </c>
      <c r="T488" s="2"/>
      <c r="U488" s="2"/>
      <c r="Y488" s="8">
        <f t="shared" si="107"/>
        <v>3.0956521739130438</v>
      </c>
    </row>
    <row r="489" spans="1:25" x14ac:dyDescent="0.25">
      <c r="A489" s="34">
        <f t="shared" si="113"/>
        <v>481</v>
      </c>
      <c r="B489" s="35" t="e">
        <f t="shared" si="113"/>
        <v>#REF!</v>
      </c>
      <c r="C489" s="42" t="s">
        <v>143</v>
      </c>
      <c r="D489" s="44" t="s">
        <v>41</v>
      </c>
      <c r="E489" s="43"/>
      <c r="F489" s="36">
        <f>213493/1000000</f>
        <v>0.21349299999999999</v>
      </c>
      <c r="G489" s="36">
        <f t="shared" ref="G489:G516" si="116">F489*0.197</f>
        <v>4.2058120999999997E-2</v>
      </c>
      <c r="H489" s="36">
        <f>55200/1000000</f>
        <v>5.5199999999999999E-2</v>
      </c>
      <c r="I489" s="37">
        <f t="shared" ref="I489:I516" si="117">H489*0.15</f>
        <v>8.2799999999999992E-3</v>
      </c>
      <c r="J489" s="32">
        <f t="shared" si="105"/>
        <v>0.12282</v>
      </c>
      <c r="K489" s="33">
        <f t="shared" si="108"/>
        <v>1.8422999999999998E-2</v>
      </c>
      <c r="L489" s="33"/>
      <c r="O489" s="2">
        <f t="shared" si="109"/>
        <v>2.3E-2</v>
      </c>
      <c r="P489" s="2">
        <f t="shared" si="110"/>
        <v>16.560000000000002</v>
      </c>
      <c r="Q489" s="7">
        <f t="shared" si="111"/>
        <v>75.000000000000014</v>
      </c>
      <c r="R489" s="2">
        <v>1.2</v>
      </c>
      <c r="S489" s="2">
        <f t="shared" si="106"/>
        <v>4.45</v>
      </c>
      <c r="T489" s="2"/>
      <c r="U489" s="2"/>
      <c r="Y489" s="8">
        <f t="shared" si="107"/>
        <v>2.67</v>
      </c>
    </row>
    <row r="490" spans="1:25" x14ac:dyDescent="0.25">
      <c r="A490" s="34">
        <f t="shared" si="113"/>
        <v>482</v>
      </c>
      <c r="B490" s="35" t="e">
        <f t="shared" si="113"/>
        <v>#REF!</v>
      </c>
      <c r="C490" s="42" t="s">
        <v>143</v>
      </c>
      <c r="D490" s="44" t="s">
        <v>144</v>
      </c>
      <c r="E490" s="43"/>
      <c r="F490" s="36">
        <f>406786/1000000</f>
        <v>0.40678599999999998</v>
      </c>
      <c r="G490" s="36">
        <f t="shared" si="116"/>
        <v>8.0136842E-2</v>
      </c>
      <c r="H490" s="36">
        <f>139104/1000000</f>
        <v>0.13910400000000001</v>
      </c>
      <c r="I490" s="37">
        <f t="shared" si="117"/>
        <v>2.0865600000000002E-2</v>
      </c>
      <c r="J490" s="32">
        <f t="shared" si="105"/>
        <v>0.25734240000000003</v>
      </c>
      <c r="K490" s="33">
        <f t="shared" si="108"/>
        <v>3.8601360000000001E-2</v>
      </c>
      <c r="L490" s="33"/>
      <c r="O490" s="2">
        <f t="shared" si="109"/>
        <v>5.7960000000000005E-2</v>
      </c>
      <c r="P490" s="2">
        <f t="shared" si="110"/>
        <v>41.731200000000001</v>
      </c>
      <c r="Q490" s="7">
        <f t="shared" si="111"/>
        <v>189</v>
      </c>
      <c r="R490" s="2">
        <v>1.2</v>
      </c>
      <c r="S490" s="2">
        <f t="shared" si="106"/>
        <v>3.7</v>
      </c>
      <c r="T490" s="2"/>
      <c r="U490" s="2"/>
      <c r="Y490" s="8">
        <f t="shared" si="107"/>
        <v>5.5944000000000003</v>
      </c>
    </row>
    <row r="491" spans="1:25" x14ac:dyDescent="0.25">
      <c r="A491" s="34">
        <f t="shared" si="113"/>
        <v>483</v>
      </c>
      <c r="B491" s="35" t="e">
        <f t="shared" si="113"/>
        <v>#REF!</v>
      </c>
      <c r="C491" s="42" t="s">
        <v>143</v>
      </c>
      <c r="D491" s="44" t="s">
        <v>43</v>
      </c>
      <c r="E491" s="43"/>
      <c r="F491" s="36">
        <f>213493/1000000</f>
        <v>0.21349299999999999</v>
      </c>
      <c r="G491" s="36">
        <f t="shared" si="116"/>
        <v>4.2058120999999997E-2</v>
      </c>
      <c r="H491" s="36">
        <f>66976/1000000</f>
        <v>6.6975999999999994E-2</v>
      </c>
      <c r="I491" s="37">
        <f t="shared" si="117"/>
        <v>1.0046399999999999E-2</v>
      </c>
      <c r="J491" s="32">
        <f t="shared" si="105"/>
        <v>0.1490216</v>
      </c>
      <c r="K491" s="33">
        <f t="shared" si="108"/>
        <v>2.235324E-2</v>
      </c>
      <c r="L491" s="33"/>
      <c r="O491" s="2">
        <f t="shared" si="109"/>
        <v>2.7906666666666666E-2</v>
      </c>
      <c r="P491" s="2">
        <f t="shared" si="110"/>
        <v>20.0928</v>
      </c>
      <c r="Q491" s="7">
        <f t="shared" si="111"/>
        <v>91</v>
      </c>
      <c r="R491" s="2">
        <v>1.2</v>
      </c>
      <c r="S491" s="2">
        <f t="shared" si="106"/>
        <v>4.45</v>
      </c>
      <c r="T491" s="2"/>
      <c r="U491" s="2"/>
      <c r="Y491" s="8">
        <f t="shared" si="107"/>
        <v>3.2395999999999998</v>
      </c>
    </row>
    <row r="492" spans="1:25" x14ac:dyDescent="0.25">
      <c r="A492" s="34">
        <f t="shared" ref="A492:B507" si="118">A491+1</f>
        <v>484</v>
      </c>
      <c r="B492" s="35" t="e">
        <f t="shared" si="118"/>
        <v>#REF!</v>
      </c>
      <c r="C492" s="42" t="s">
        <v>143</v>
      </c>
      <c r="D492" s="44" t="s">
        <v>82</v>
      </c>
      <c r="E492" s="43"/>
      <c r="F492" s="36">
        <f>213493/1000000</f>
        <v>0.21349299999999999</v>
      </c>
      <c r="G492" s="36">
        <f t="shared" si="116"/>
        <v>4.2058120999999997E-2</v>
      </c>
      <c r="H492" s="36">
        <f>64032/1000000</f>
        <v>6.4032000000000006E-2</v>
      </c>
      <c r="I492" s="37">
        <f t="shared" si="117"/>
        <v>9.6048000000000001E-3</v>
      </c>
      <c r="J492" s="32">
        <f t="shared" si="105"/>
        <v>0.14247120000000002</v>
      </c>
      <c r="K492" s="33">
        <f t="shared" si="108"/>
        <v>2.1370680000000003E-2</v>
      </c>
      <c r="L492" s="33"/>
      <c r="O492" s="2">
        <f t="shared" si="109"/>
        <v>2.6680000000000002E-2</v>
      </c>
      <c r="P492" s="2">
        <f t="shared" si="110"/>
        <v>19.209600000000002</v>
      </c>
      <c r="Q492" s="7">
        <f t="shared" si="111"/>
        <v>87.000000000000014</v>
      </c>
      <c r="R492" s="2">
        <v>1.2</v>
      </c>
      <c r="S492" s="2">
        <f t="shared" si="106"/>
        <v>4.45</v>
      </c>
      <c r="T492" s="2"/>
      <c r="U492" s="2"/>
      <c r="Y492" s="8">
        <f t="shared" si="107"/>
        <v>3.0972000000000004</v>
      </c>
    </row>
    <row r="493" spans="1:25" x14ac:dyDescent="0.25">
      <c r="A493" s="34">
        <f t="shared" si="118"/>
        <v>485</v>
      </c>
      <c r="B493" s="35" t="e">
        <f t="shared" si="118"/>
        <v>#REF!</v>
      </c>
      <c r="C493" s="42" t="s">
        <v>143</v>
      </c>
      <c r="D493" s="44" t="s">
        <v>51</v>
      </c>
      <c r="E493" s="43"/>
      <c r="F493" s="36">
        <f>180514/1000000</f>
        <v>0.18051400000000001</v>
      </c>
      <c r="G493" s="36">
        <f t="shared" si="116"/>
        <v>3.5561258000000005E-2</v>
      </c>
      <c r="H493" s="36">
        <f>93472/1000000</f>
        <v>9.3472E-2</v>
      </c>
      <c r="I493" s="37">
        <f t="shared" si="117"/>
        <v>1.40208E-2</v>
      </c>
      <c r="J493" s="32">
        <f t="shared" si="105"/>
        <v>0.20797520000000003</v>
      </c>
      <c r="K493" s="33">
        <f t="shared" si="108"/>
        <v>3.1196280000000003E-2</v>
      </c>
      <c r="L493" s="33"/>
      <c r="O493" s="2">
        <f t="shared" si="109"/>
        <v>3.8946666666666671E-2</v>
      </c>
      <c r="P493" s="2">
        <f t="shared" si="110"/>
        <v>28.041600000000003</v>
      </c>
      <c r="Q493" s="7">
        <f t="shared" si="111"/>
        <v>127.00000000000001</v>
      </c>
      <c r="R493" s="2">
        <v>1.2</v>
      </c>
      <c r="S493" s="2">
        <f t="shared" si="106"/>
        <v>4.45</v>
      </c>
      <c r="T493" s="2"/>
      <c r="U493" s="2"/>
      <c r="Y493" s="8">
        <f t="shared" si="107"/>
        <v>4.5212000000000003</v>
      </c>
    </row>
    <row r="494" spans="1:25" x14ac:dyDescent="0.25">
      <c r="A494" s="34">
        <f t="shared" si="118"/>
        <v>486</v>
      </c>
      <c r="B494" s="35" t="e">
        <f t="shared" si="118"/>
        <v>#REF!</v>
      </c>
      <c r="C494" s="42" t="s">
        <v>143</v>
      </c>
      <c r="D494" s="44" t="s">
        <v>145</v>
      </c>
      <c r="E494" s="43"/>
      <c r="F494" s="36">
        <f>215641/1000000</f>
        <v>0.215641</v>
      </c>
      <c r="G494" s="36">
        <f t="shared" si="116"/>
        <v>4.2481277000000005E-2</v>
      </c>
      <c r="H494" s="36">
        <f>38272/1000000</f>
        <v>3.8272E-2</v>
      </c>
      <c r="I494" s="37">
        <f t="shared" si="117"/>
        <v>5.7407999999999999E-3</v>
      </c>
      <c r="J494" s="32">
        <f t="shared" si="105"/>
        <v>8.51552E-2</v>
      </c>
      <c r="K494" s="33">
        <f t="shared" si="108"/>
        <v>1.277328E-2</v>
      </c>
      <c r="L494" s="33"/>
      <c r="O494" s="2">
        <f t="shared" si="109"/>
        <v>1.5946666666666668E-2</v>
      </c>
      <c r="P494" s="2">
        <f t="shared" si="110"/>
        <v>11.481600000000002</v>
      </c>
      <c r="Q494" s="7">
        <f t="shared" si="111"/>
        <v>52.000000000000007</v>
      </c>
      <c r="R494" s="2">
        <v>1.2</v>
      </c>
      <c r="S494" s="2">
        <f t="shared" si="106"/>
        <v>4.45</v>
      </c>
      <c r="T494" s="2"/>
      <c r="U494" s="2"/>
      <c r="Y494" s="8">
        <f t="shared" si="107"/>
        <v>1.8512000000000002</v>
      </c>
    </row>
    <row r="495" spans="1:25" x14ac:dyDescent="0.25">
      <c r="A495" s="34">
        <f t="shared" si="118"/>
        <v>487</v>
      </c>
      <c r="B495" s="35" t="e">
        <f t="shared" si="118"/>
        <v>#REF!</v>
      </c>
      <c r="C495" s="42" t="s">
        <v>143</v>
      </c>
      <c r="D495" s="44" t="s">
        <v>52</v>
      </c>
      <c r="E495" s="43"/>
      <c r="F495" s="36">
        <f>134023/1000000</f>
        <v>0.134023</v>
      </c>
      <c r="G495" s="36">
        <f t="shared" si="116"/>
        <v>2.6402531000000003E-2</v>
      </c>
      <c r="H495" s="36">
        <f>64768/1000000</f>
        <v>6.4768000000000006E-2</v>
      </c>
      <c r="I495" s="37">
        <f t="shared" si="117"/>
        <v>9.7152000000000002E-3</v>
      </c>
      <c r="J495" s="32">
        <f t="shared" si="105"/>
        <v>0.14410880000000001</v>
      </c>
      <c r="K495" s="33">
        <f t="shared" si="108"/>
        <v>2.1616320000000001E-2</v>
      </c>
      <c r="L495" s="33"/>
      <c r="O495" s="2">
        <f t="shared" si="109"/>
        <v>2.6986666666666669E-2</v>
      </c>
      <c r="P495" s="2">
        <f t="shared" si="110"/>
        <v>19.430400000000002</v>
      </c>
      <c r="Q495" s="7">
        <f t="shared" si="111"/>
        <v>88.000000000000014</v>
      </c>
      <c r="R495" s="2">
        <v>1.2</v>
      </c>
      <c r="S495" s="2">
        <f t="shared" si="106"/>
        <v>4.45</v>
      </c>
      <c r="T495" s="2"/>
      <c r="U495" s="2"/>
      <c r="Y495" s="8">
        <f t="shared" si="107"/>
        <v>3.1328000000000005</v>
      </c>
    </row>
    <row r="496" spans="1:25" x14ac:dyDescent="0.25">
      <c r="A496" s="34">
        <f t="shared" si="118"/>
        <v>488</v>
      </c>
      <c r="B496" s="35"/>
      <c r="C496" s="42" t="s">
        <v>143</v>
      </c>
      <c r="D496" s="35">
        <v>10</v>
      </c>
      <c r="E496" s="35"/>
      <c r="F496" s="36">
        <f>214857/1000000</f>
        <v>0.21485699999999999</v>
      </c>
      <c r="G496" s="36">
        <f t="shared" si="116"/>
        <v>4.2326829000000003E-2</v>
      </c>
      <c r="H496" s="36">
        <f>68448/1000000</f>
        <v>6.8447999999999995E-2</v>
      </c>
      <c r="I496" s="37">
        <f t="shared" si="117"/>
        <v>1.0267199999999999E-2</v>
      </c>
      <c r="J496" s="32">
        <f t="shared" si="105"/>
        <v>0.15229679999999998</v>
      </c>
      <c r="K496" s="33">
        <f t="shared" si="108"/>
        <v>2.2844519999999997E-2</v>
      </c>
      <c r="L496" s="33"/>
      <c r="O496" s="2">
        <f t="shared" si="109"/>
        <v>2.852E-2</v>
      </c>
      <c r="P496" s="2">
        <f t="shared" si="110"/>
        <v>20.534399999999998</v>
      </c>
      <c r="Q496" s="7">
        <f t="shared" si="111"/>
        <v>92.999999999999986</v>
      </c>
      <c r="R496" s="2">
        <v>1.2</v>
      </c>
      <c r="S496" s="2">
        <f t="shared" si="106"/>
        <v>4.45</v>
      </c>
      <c r="T496" s="2"/>
      <c r="U496" s="2"/>
      <c r="Y496" s="8">
        <f t="shared" si="107"/>
        <v>3.3107999999999995</v>
      </c>
    </row>
    <row r="497" spans="1:25" x14ac:dyDescent="0.25">
      <c r="A497" s="34">
        <f t="shared" si="118"/>
        <v>489</v>
      </c>
      <c r="B497" s="35"/>
      <c r="C497" s="42" t="s">
        <v>143</v>
      </c>
      <c r="D497" s="35">
        <v>11</v>
      </c>
      <c r="E497" s="35"/>
      <c r="F497" s="36">
        <f>311349/1000000</f>
        <v>0.31134899999999999</v>
      </c>
      <c r="G497" s="36">
        <f t="shared" si="116"/>
        <v>6.1335753E-2</v>
      </c>
      <c r="H497" s="36">
        <f>82432/1000000</f>
        <v>8.2432000000000005E-2</v>
      </c>
      <c r="I497" s="37">
        <f t="shared" si="117"/>
        <v>1.23648E-2</v>
      </c>
      <c r="J497" s="32">
        <f t="shared" si="105"/>
        <v>0.18341120000000002</v>
      </c>
      <c r="K497" s="33">
        <f t="shared" si="108"/>
        <v>2.7511680000000004E-2</v>
      </c>
      <c r="L497" s="33"/>
      <c r="O497" s="2">
        <f t="shared" si="109"/>
        <v>3.4346666666666671E-2</v>
      </c>
      <c r="P497" s="2">
        <f t="shared" si="110"/>
        <v>24.729600000000005</v>
      </c>
      <c r="Q497" s="7">
        <f t="shared" si="111"/>
        <v>112.00000000000003</v>
      </c>
      <c r="R497" s="2">
        <v>1.2</v>
      </c>
      <c r="S497" s="2">
        <f t="shared" si="106"/>
        <v>4.45</v>
      </c>
      <c r="T497" s="2"/>
      <c r="U497" s="2"/>
      <c r="Y497" s="8">
        <f t="shared" si="107"/>
        <v>3.9872000000000005</v>
      </c>
    </row>
    <row r="498" spans="1:25" x14ac:dyDescent="0.25">
      <c r="A498" s="34">
        <f t="shared" si="118"/>
        <v>490</v>
      </c>
      <c r="B498" s="35"/>
      <c r="C498" s="42" t="s">
        <v>143</v>
      </c>
      <c r="D498" s="35">
        <v>12</v>
      </c>
      <c r="E498" s="35"/>
      <c r="F498" s="36">
        <f>311349/1000000</f>
        <v>0.31134899999999999</v>
      </c>
      <c r="G498" s="36">
        <f t="shared" si="116"/>
        <v>6.1335753E-2</v>
      </c>
      <c r="H498" s="36">
        <f>89056/1000000</f>
        <v>8.9055999999999996E-2</v>
      </c>
      <c r="I498" s="37">
        <f t="shared" si="117"/>
        <v>1.3358399999999999E-2</v>
      </c>
      <c r="J498" s="32">
        <f t="shared" si="105"/>
        <v>0.19814960000000004</v>
      </c>
      <c r="K498" s="33">
        <f t="shared" si="108"/>
        <v>2.9722440000000003E-2</v>
      </c>
      <c r="L498" s="33"/>
      <c r="O498" s="2">
        <f t="shared" si="109"/>
        <v>3.710666666666667E-2</v>
      </c>
      <c r="P498" s="2">
        <f t="shared" si="110"/>
        <v>26.716799999999999</v>
      </c>
      <c r="Q498" s="7">
        <f t="shared" si="111"/>
        <v>121</v>
      </c>
      <c r="R498" s="2">
        <v>1.2</v>
      </c>
      <c r="S498" s="2">
        <f t="shared" si="106"/>
        <v>4.45</v>
      </c>
      <c r="T498" s="2"/>
      <c r="U498" s="2"/>
      <c r="Y498" s="8">
        <f t="shared" si="107"/>
        <v>4.3076000000000008</v>
      </c>
    </row>
    <row r="499" spans="1:25" x14ac:dyDescent="0.25">
      <c r="A499" s="34">
        <f t="shared" si="118"/>
        <v>491</v>
      </c>
      <c r="B499" s="35"/>
      <c r="C499" s="42" t="s">
        <v>143</v>
      </c>
      <c r="D499" s="44" t="s">
        <v>57</v>
      </c>
      <c r="E499" s="43"/>
      <c r="F499" s="36">
        <f>214857/1000000</f>
        <v>0.21485699999999999</v>
      </c>
      <c r="G499" s="36">
        <f t="shared" si="116"/>
        <v>4.2326829000000003E-2</v>
      </c>
      <c r="H499" s="36">
        <f>88320/1000000</f>
        <v>8.8319999999999996E-2</v>
      </c>
      <c r="I499" s="37">
        <f t="shared" si="117"/>
        <v>1.3247999999999999E-2</v>
      </c>
      <c r="J499" s="32">
        <f t="shared" si="105"/>
        <v>0.19651199999999999</v>
      </c>
      <c r="K499" s="33">
        <f t="shared" si="108"/>
        <v>2.9476799999999997E-2</v>
      </c>
      <c r="L499" s="33"/>
      <c r="O499" s="2">
        <f t="shared" si="109"/>
        <v>3.6799999999999999E-2</v>
      </c>
      <c r="P499" s="2">
        <f t="shared" si="110"/>
        <v>26.495999999999999</v>
      </c>
      <c r="Q499" s="7">
        <f t="shared" si="111"/>
        <v>120</v>
      </c>
      <c r="R499" s="2">
        <v>1.2</v>
      </c>
      <c r="S499" s="2">
        <f t="shared" si="106"/>
        <v>4.45</v>
      </c>
      <c r="T499" s="2"/>
      <c r="U499" s="2"/>
      <c r="Y499" s="8">
        <f t="shared" si="107"/>
        <v>4.2719999999999994</v>
      </c>
    </row>
    <row r="500" spans="1:25" x14ac:dyDescent="0.25">
      <c r="A500" s="34">
        <f t="shared" si="118"/>
        <v>492</v>
      </c>
      <c r="B500" s="35"/>
      <c r="C500" s="42" t="s">
        <v>143</v>
      </c>
      <c r="D500" s="44" t="s">
        <v>58</v>
      </c>
      <c r="E500" s="43"/>
      <c r="F500" s="36">
        <f>214857/1000000</f>
        <v>0.21485699999999999</v>
      </c>
      <c r="G500" s="36">
        <f t="shared" si="116"/>
        <v>4.2326829000000003E-2</v>
      </c>
      <c r="H500" s="36">
        <f>84640/1000000</f>
        <v>8.4640000000000007E-2</v>
      </c>
      <c r="I500" s="37">
        <f t="shared" si="117"/>
        <v>1.2696000000000001E-2</v>
      </c>
      <c r="J500" s="32">
        <f t="shared" si="105"/>
        <v>0.18832400000000002</v>
      </c>
      <c r="K500" s="33">
        <f t="shared" si="108"/>
        <v>2.8248600000000002E-2</v>
      </c>
      <c r="L500" s="33"/>
      <c r="O500" s="2">
        <f t="shared" si="109"/>
        <v>3.5266666666666668E-2</v>
      </c>
      <c r="P500" s="2">
        <f t="shared" si="110"/>
        <v>25.392000000000003</v>
      </c>
      <c r="Q500" s="7">
        <f t="shared" si="111"/>
        <v>115.00000000000001</v>
      </c>
      <c r="R500" s="2">
        <v>1.2</v>
      </c>
      <c r="S500" s="2">
        <f t="shared" si="106"/>
        <v>4.45</v>
      </c>
      <c r="T500" s="2"/>
      <c r="U500" s="2"/>
      <c r="Y500" s="8">
        <f t="shared" si="107"/>
        <v>4.0940000000000003</v>
      </c>
    </row>
    <row r="501" spans="1:25" x14ac:dyDescent="0.25">
      <c r="A501" s="34">
        <f t="shared" si="118"/>
        <v>493</v>
      </c>
      <c r="B501" s="35"/>
      <c r="C501" s="42" t="s">
        <v>143</v>
      </c>
      <c r="D501" s="44" t="s">
        <v>60</v>
      </c>
      <c r="E501" s="43"/>
      <c r="F501" s="36">
        <f>311349/1000000</f>
        <v>0.31134899999999999</v>
      </c>
      <c r="G501" s="36">
        <f t="shared" si="116"/>
        <v>6.1335753E-2</v>
      </c>
      <c r="H501" s="36">
        <f>124384/1000000</f>
        <v>0.12438399999999999</v>
      </c>
      <c r="I501" s="37">
        <f t="shared" si="117"/>
        <v>1.86576E-2</v>
      </c>
      <c r="J501" s="32">
        <f t="shared" si="105"/>
        <v>0.23011039999999999</v>
      </c>
      <c r="K501" s="33">
        <f t="shared" si="108"/>
        <v>3.4516559999999995E-2</v>
      </c>
      <c r="L501" s="33"/>
      <c r="O501" s="2">
        <f t="shared" si="109"/>
        <v>5.1826666666666667E-2</v>
      </c>
      <c r="P501" s="2">
        <f t="shared" si="110"/>
        <v>37.315200000000004</v>
      </c>
      <c r="Q501" s="7">
        <f t="shared" si="111"/>
        <v>169.00000000000003</v>
      </c>
      <c r="R501" s="2">
        <v>1.2</v>
      </c>
      <c r="S501" s="2">
        <f t="shared" si="106"/>
        <v>3.7</v>
      </c>
      <c r="T501" s="2"/>
      <c r="U501" s="2"/>
      <c r="Y501" s="8">
        <f t="shared" si="107"/>
        <v>5.0023999999999997</v>
      </c>
    </row>
    <row r="502" spans="1:25" x14ac:dyDescent="0.25">
      <c r="A502" s="34">
        <f t="shared" si="118"/>
        <v>494</v>
      </c>
      <c r="B502" s="35"/>
      <c r="C502" s="42" t="s">
        <v>143</v>
      </c>
      <c r="D502" s="35">
        <v>18</v>
      </c>
      <c r="E502" s="35"/>
      <c r="F502" s="36">
        <f>214857/1000000</f>
        <v>0.21485699999999999</v>
      </c>
      <c r="G502" s="36">
        <f t="shared" si="116"/>
        <v>4.2326829000000003E-2</v>
      </c>
      <c r="H502" s="36">
        <f>78016/1000000</f>
        <v>7.8016000000000002E-2</v>
      </c>
      <c r="I502" s="37">
        <f t="shared" si="117"/>
        <v>1.17024E-2</v>
      </c>
      <c r="J502" s="32">
        <f t="shared" si="105"/>
        <v>0.17358560000000001</v>
      </c>
      <c r="K502" s="33">
        <f t="shared" si="108"/>
        <v>2.603784E-2</v>
      </c>
      <c r="L502" s="33"/>
      <c r="O502" s="2">
        <f t="shared" si="109"/>
        <v>3.250666666666667E-2</v>
      </c>
      <c r="P502" s="2">
        <f t="shared" si="110"/>
        <v>23.404800000000002</v>
      </c>
      <c r="Q502" s="7">
        <f t="shared" si="111"/>
        <v>106.00000000000001</v>
      </c>
      <c r="R502" s="2">
        <v>1.2</v>
      </c>
      <c r="S502" s="2">
        <f t="shared" si="106"/>
        <v>4.45</v>
      </c>
      <c r="T502" s="2"/>
      <c r="U502" s="2"/>
      <c r="Y502" s="8">
        <f t="shared" si="107"/>
        <v>3.7736000000000001</v>
      </c>
    </row>
    <row r="503" spans="1:25" x14ac:dyDescent="0.25">
      <c r="A503" s="34">
        <f t="shared" si="118"/>
        <v>495</v>
      </c>
      <c r="B503" s="35"/>
      <c r="C503" s="42" t="s">
        <v>143</v>
      </c>
      <c r="D503" s="35">
        <v>19</v>
      </c>
      <c r="E503" s="35"/>
      <c r="F503" s="36">
        <f>214857/1000000</f>
        <v>0.21485699999999999</v>
      </c>
      <c r="G503" s="36">
        <f t="shared" si="116"/>
        <v>4.2326829000000003E-2</v>
      </c>
      <c r="H503" s="36">
        <f>106720/1000000</f>
        <v>0.10672</v>
      </c>
      <c r="I503" s="37">
        <f t="shared" si="117"/>
        <v>1.6007999999999998E-2</v>
      </c>
      <c r="J503" s="32">
        <f t="shared" si="105"/>
        <v>0.237452</v>
      </c>
      <c r="K503" s="33">
        <f t="shared" si="108"/>
        <v>3.5617799999999998E-2</v>
      </c>
      <c r="L503" s="33"/>
      <c r="O503" s="2">
        <f t="shared" si="109"/>
        <v>4.4466666666666668E-2</v>
      </c>
      <c r="P503" s="2">
        <f t="shared" si="110"/>
        <v>32.016000000000005</v>
      </c>
      <c r="Q503" s="7">
        <f t="shared" si="111"/>
        <v>145.00000000000003</v>
      </c>
      <c r="R503" s="2">
        <v>1.2</v>
      </c>
      <c r="S503" s="2">
        <f t="shared" si="106"/>
        <v>4.45</v>
      </c>
      <c r="T503" s="2"/>
      <c r="U503" s="2"/>
      <c r="Y503" s="8">
        <f t="shared" si="107"/>
        <v>5.1619999999999999</v>
      </c>
    </row>
    <row r="504" spans="1:25" x14ac:dyDescent="0.25">
      <c r="A504" s="34">
        <f t="shared" si="118"/>
        <v>496</v>
      </c>
      <c r="B504" s="35"/>
      <c r="C504" s="42" t="s">
        <v>143</v>
      </c>
      <c r="D504" s="35">
        <v>21</v>
      </c>
      <c r="E504" s="35"/>
      <c r="F504" s="36">
        <f>311349/1000000</f>
        <v>0.31134899999999999</v>
      </c>
      <c r="G504" s="36">
        <f t="shared" si="116"/>
        <v>6.1335753E-2</v>
      </c>
      <c r="H504" s="36">
        <f>141312/1000000</f>
        <v>0.14131199999999999</v>
      </c>
      <c r="I504" s="37">
        <f t="shared" si="117"/>
        <v>2.1196799999999998E-2</v>
      </c>
      <c r="J504" s="32">
        <f t="shared" si="105"/>
        <v>0.26142720000000003</v>
      </c>
      <c r="K504" s="33">
        <f t="shared" si="108"/>
        <v>3.9214080000000005E-2</v>
      </c>
      <c r="L504" s="33"/>
      <c r="O504" s="2">
        <f t="shared" si="109"/>
        <v>5.8880000000000002E-2</v>
      </c>
      <c r="P504" s="2">
        <f t="shared" si="110"/>
        <v>42.393600000000006</v>
      </c>
      <c r="Q504" s="7">
        <f t="shared" si="111"/>
        <v>192.00000000000003</v>
      </c>
      <c r="R504" s="2">
        <v>1.2</v>
      </c>
      <c r="S504" s="2">
        <f t="shared" si="106"/>
        <v>3.7</v>
      </c>
      <c r="T504" s="2"/>
      <c r="U504" s="2"/>
      <c r="Y504" s="8">
        <f t="shared" si="107"/>
        <v>5.6832000000000003</v>
      </c>
    </row>
    <row r="505" spans="1:25" x14ac:dyDescent="0.25">
      <c r="A505" s="34">
        <f t="shared" si="118"/>
        <v>497</v>
      </c>
      <c r="C505" s="42" t="s">
        <v>143</v>
      </c>
      <c r="D505" s="44" t="s">
        <v>119</v>
      </c>
      <c r="E505" s="43"/>
      <c r="F505" s="36">
        <f>136021/1000000</f>
        <v>0.136021</v>
      </c>
      <c r="G505" s="36">
        <f t="shared" si="116"/>
        <v>2.6796137000000001E-2</v>
      </c>
      <c r="H505" s="36">
        <f>25024/1000000</f>
        <v>2.5024000000000001E-2</v>
      </c>
      <c r="I505" s="37">
        <f t="shared" si="117"/>
        <v>3.7536000000000002E-3</v>
      </c>
      <c r="J505" s="32">
        <f t="shared" si="105"/>
        <v>5.5678400000000003E-2</v>
      </c>
      <c r="K505" s="33">
        <f t="shared" si="108"/>
        <v>8.3517599999999997E-3</v>
      </c>
      <c r="L505" s="33"/>
      <c r="O505" s="2">
        <f t="shared" si="109"/>
        <v>1.0426666666666667E-2</v>
      </c>
      <c r="P505" s="2">
        <f t="shared" si="110"/>
        <v>7.507200000000001</v>
      </c>
      <c r="Q505" s="7">
        <f t="shared" si="111"/>
        <v>34.000000000000007</v>
      </c>
      <c r="R505" s="2">
        <v>1.2</v>
      </c>
      <c r="S505" s="2">
        <f t="shared" si="106"/>
        <v>4.45</v>
      </c>
      <c r="T505" s="2"/>
      <c r="U505" s="2"/>
      <c r="Y505" s="8">
        <f t="shared" si="107"/>
        <v>1.2104000000000001</v>
      </c>
    </row>
    <row r="506" spans="1:25" x14ac:dyDescent="0.25">
      <c r="A506" s="34">
        <f t="shared" si="118"/>
        <v>498</v>
      </c>
      <c r="B506" s="35"/>
      <c r="C506" s="42" t="s">
        <v>143</v>
      </c>
      <c r="D506" s="35">
        <v>27</v>
      </c>
      <c r="E506" s="35"/>
      <c r="F506" s="36">
        <f>214857/1000000</f>
        <v>0.21485699999999999</v>
      </c>
      <c r="G506" s="36">
        <f t="shared" si="116"/>
        <v>4.2326829000000003E-2</v>
      </c>
      <c r="H506" s="36">
        <f>78016/1000000</f>
        <v>7.8016000000000002E-2</v>
      </c>
      <c r="I506" s="37">
        <f t="shared" si="117"/>
        <v>1.17024E-2</v>
      </c>
      <c r="J506" s="32">
        <f t="shared" si="105"/>
        <v>0.17358560000000001</v>
      </c>
      <c r="K506" s="33">
        <f t="shared" si="108"/>
        <v>2.603784E-2</v>
      </c>
      <c r="L506" s="33"/>
      <c r="O506" s="2">
        <f t="shared" si="109"/>
        <v>3.250666666666667E-2</v>
      </c>
      <c r="P506" s="2">
        <f t="shared" si="110"/>
        <v>23.404800000000002</v>
      </c>
      <c r="Q506" s="7">
        <f t="shared" si="111"/>
        <v>106.00000000000001</v>
      </c>
      <c r="R506" s="2">
        <v>1.2</v>
      </c>
      <c r="S506" s="2">
        <f t="shared" si="106"/>
        <v>4.45</v>
      </c>
      <c r="T506" s="2"/>
      <c r="U506" s="2"/>
      <c r="Y506" s="8">
        <f t="shared" si="107"/>
        <v>3.7736000000000001</v>
      </c>
    </row>
    <row r="507" spans="1:25" x14ac:dyDescent="0.25">
      <c r="A507" s="34">
        <f t="shared" si="118"/>
        <v>499</v>
      </c>
      <c r="B507" s="35"/>
      <c r="C507" s="42" t="s">
        <v>143</v>
      </c>
      <c r="D507" s="35">
        <v>28</v>
      </c>
      <c r="E507" s="35"/>
      <c r="F507" s="36">
        <f>214857/1000000</f>
        <v>0.21485699999999999</v>
      </c>
      <c r="G507" s="36">
        <f t="shared" si="116"/>
        <v>4.2326829000000003E-2</v>
      </c>
      <c r="H507" s="36">
        <f>66976/1000000</f>
        <v>6.6975999999999994E-2</v>
      </c>
      <c r="I507" s="37">
        <f t="shared" si="117"/>
        <v>1.0046399999999999E-2</v>
      </c>
      <c r="J507" s="32">
        <f t="shared" si="105"/>
        <v>0.1490216</v>
      </c>
      <c r="K507" s="33">
        <f t="shared" si="108"/>
        <v>2.235324E-2</v>
      </c>
      <c r="L507" s="33"/>
      <c r="O507" s="2">
        <f t="shared" si="109"/>
        <v>2.7906666666666666E-2</v>
      </c>
      <c r="P507" s="2">
        <f t="shared" si="110"/>
        <v>20.0928</v>
      </c>
      <c r="Q507" s="7">
        <f t="shared" si="111"/>
        <v>91</v>
      </c>
      <c r="R507" s="2">
        <v>1.2</v>
      </c>
      <c r="S507" s="2">
        <f t="shared" si="106"/>
        <v>4.45</v>
      </c>
      <c r="T507" s="2"/>
      <c r="U507" s="2"/>
      <c r="Y507" s="8">
        <f t="shared" si="107"/>
        <v>3.2395999999999998</v>
      </c>
    </row>
    <row r="508" spans="1:25" x14ac:dyDescent="0.25">
      <c r="A508" s="34">
        <f t="shared" ref="A508:B523" si="119">A507+1</f>
        <v>500</v>
      </c>
      <c r="B508" s="35"/>
      <c r="C508" s="42" t="s">
        <v>143</v>
      </c>
      <c r="D508" s="35">
        <v>29</v>
      </c>
      <c r="E508" s="35"/>
      <c r="F508" s="36">
        <f>214857/1000000</f>
        <v>0.21485699999999999</v>
      </c>
      <c r="G508" s="36">
        <f t="shared" si="116"/>
        <v>4.2326829000000003E-2</v>
      </c>
      <c r="H508" s="36">
        <f>82432/1000000</f>
        <v>8.2432000000000005E-2</v>
      </c>
      <c r="I508" s="37">
        <f t="shared" si="117"/>
        <v>1.23648E-2</v>
      </c>
      <c r="J508" s="32">
        <f t="shared" si="105"/>
        <v>0.18341120000000002</v>
      </c>
      <c r="K508" s="33">
        <f t="shared" si="108"/>
        <v>2.7511680000000004E-2</v>
      </c>
      <c r="L508" s="33"/>
      <c r="O508" s="2">
        <f t="shared" si="109"/>
        <v>3.4346666666666671E-2</v>
      </c>
      <c r="P508" s="2">
        <f t="shared" si="110"/>
        <v>24.729600000000005</v>
      </c>
      <c r="Q508" s="7">
        <f t="shared" si="111"/>
        <v>112.00000000000003</v>
      </c>
      <c r="R508" s="2">
        <v>1.2</v>
      </c>
      <c r="S508" s="2">
        <f t="shared" si="106"/>
        <v>4.45</v>
      </c>
      <c r="T508" s="2"/>
      <c r="U508" s="2"/>
      <c r="Y508" s="8">
        <f t="shared" si="107"/>
        <v>3.9872000000000005</v>
      </c>
    </row>
    <row r="509" spans="1:25" x14ac:dyDescent="0.25">
      <c r="A509" s="34">
        <f t="shared" si="119"/>
        <v>501</v>
      </c>
      <c r="B509" s="35" t="e">
        <f>#REF!+1</f>
        <v>#REF!</v>
      </c>
      <c r="C509" s="42" t="s">
        <v>143</v>
      </c>
      <c r="D509" s="44" t="s">
        <v>104</v>
      </c>
      <c r="E509" s="43"/>
      <c r="F509" s="36">
        <f>109301/1000000</f>
        <v>0.109301</v>
      </c>
      <c r="G509" s="36">
        <f t="shared" si="116"/>
        <v>2.1532296999999999E-2</v>
      </c>
      <c r="H509" s="36">
        <f>24288/1000000</f>
        <v>2.4288000000000001E-2</v>
      </c>
      <c r="I509" s="37">
        <f t="shared" si="117"/>
        <v>3.6432000000000001E-3</v>
      </c>
      <c r="J509" s="32">
        <f t="shared" si="105"/>
        <v>5.40408E-2</v>
      </c>
      <c r="K509" s="33">
        <f t="shared" si="108"/>
        <v>8.1061199999999996E-3</v>
      </c>
      <c r="L509" s="33"/>
      <c r="O509" s="2">
        <f t="shared" si="109"/>
        <v>1.0120000000000001E-2</v>
      </c>
      <c r="P509" s="2">
        <f t="shared" si="110"/>
        <v>7.2864000000000004</v>
      </c>
      <c r="Q509" s="7">
        <f t="shared" si="111"/>
        <v>33</v>
      </c>
      <c r="R509" s="2">
        <v>1.2</v>
      </c>
      <c r="S509" s="2">
        <f t="shared" si="106"/>
        <v>4.45</v>
      </c>
      <c r="T509" s="2"/>
      <c r="U509" s="2"/>
      <c r="Y509" s="8">
        <f t="shared" si="107"/>
        <v>1.1747999999999998</v>
      </c>
    </row>
    <row r="510" spans="1:25" x14ac:dyDescent="0.25">
      <c r="A510" s="34">
        <f t="shared" si="119"/>
        <v>502</v>
      </c>
      <c r="B510" s="35" t="e">
        <f t="shared" si="119"/>
        <v>#REF!</v>
      </c>
      <c r="C510" s="42" t="s">
        <v>143</v>
      </c>
      <c r="D510" s="44" t="s">
        <v>65</v>
      </c>
      <c r="E510" s="43"/>
      <c r="F510" s="36">
        <f>92825/1000000</f>
        <v>9.2825000000000005E-2</v>
      </c>
      <c r="G510" s="36">
        <f t="shared" si="116"/>
        <v>1.8286525000000001E-2</v>
      </c>
      <c r="H510" s="36">
        <f>28704/1000000</f>
        <v>2.8704E-2</v>
      </c>
      <c r="I510" s="37">
        <f t="shared" si="117"/>
        <v>4.3055999999999997E-3</v>
      </c>
      <c r="J510" s="32">
        <f t="shared" si="105"/>
        <v>6.3866400000000004E-2</v>
      </c>
      <c r="K510" s="33">
        <f t="shared" si="108"/>
        <v>9.5799600000000002E-3</v>
      </c>
      <c r="L510" s="33"/>
      <c r="O510" s="2">
        <f t="shared" si="109"/>
        <v>1.196E-2</v>
      </c>
      <c r="P510" s="2">
        <f t="shared" si="110"/>
        <v>8.6112000000000002</v>
      </c>
      <c r="Q510" s="7">
        <f t="shared" si="111"/>
        <v>39</v>
      </c>
      <c r="R510" s="2">
        <v>1.2</v>
      </c>
      <c r="S510" s="2">
        <f t="shared" si="106"/>
        <v>4.45</v>
      </c>
      <c r="T510" s="2"/>
      <c r="U510" s="2"/>
      <c r="Y510" s="8">
        <f t="shared" si="107"/>
        <v>1.3884000000000001</v>
      </c>
    </row>
    <row r="511" spans="1:25" x14ac:dyDescent="0.25">
      <c r="A511" s="34">
        <f t="shared" si="119"/>
        <v>503</v>
      </c>
      <c r="B511" s="35" t="e">
        <f t="shared" si="119"/>
        <v>#REF!</v>
      </c>
      <c r="C511" s="42" t="s">
        <v>143</v>
      </c>
      <c r="D511" s="44" t="s">
        <v>66</v>
      </c>
      <c r="E511" s="43">
        <v>1</v>
      </c>
      <c r="F511" s="36">
        <f>141063/1000000</f>
        <v>0.14106299999999999</v>
      </c>
      <c r="G511" s="36">
        <f t="shared" si="116"/>
        <v>2.7789411E-2</v>
      </c>
      <c r="H511" s="36">
        <f>55937/1000000</f>
        <v>5.5937000000000001E-2</v>
      </c>
      <c r="I511" s="37">
        <f t="shared" si="117"/>
        <v>8.3905500000000001E-3</v>
      </c>
      <c r="J511" s="32">
        <f t="shared" si="105"/>
        <v>0.12445982500000002</v>
      </c>
      <c r="K511" s="33">
        <f t="shared" si="108"/>
        <v>1.8668973750000002E-2</v>
      </c>
      <c r="L511" s="33"/>
      <c r="O511" s="2">
        <f t="shared" si="109"/>
        <v>2.3307083333333336E-2</v>
      </c>
      <c r="P511" s="2">
        <f t="shared" si="110"/>
        <v>16.781100000000002</v>
      </c>
      <c r="Q511" s="7">
        <f t="shared" si="111"/>
        <v>76.001358695652186</v>
      </c>
      <c r="R511" s="2">
        <v>1.2</v>
      </c>
      <c r="S511" s="2">
        <f t="shared" si="106"/>
        <v>4.45</v>
      </c>
      <c r="T511" s="2"/>
      <c r="U511" s="2"/>
      <c r="Y511" s="8">
        <f t="shared" si="107"/>
        <v>2.705648369565218</v>
      </c>
    </row>
    <row r="512" spans="1:25" x14ac:dyDescent="0.25">
      <c r="A512" s="34">
        <f t="shared" si="119"/>
        <v>504</v>
      </c>
      <c r="B512" s="35" t="e">
        <f t="shared" si="119"/>
        <v>#REF!</v>
      </c>
      <c r="C512" s="42" t="s">
        <v>143</v>
      </c>
      <c r="D512" s="41" t="s">
        <v>66</v>
      </c>
      <c r="E512" s="35">
        <v>2</v>
      </c>
      <c r="F512" s="36">
        <f>141063/1000000</f>
        <v>0.14106299999999999</v>
      </c>
      <c r="G512" s="36">
        <f t="shared" si="116"/>
        <v>2.7789411E-2</v>
      </c>
      <c r="H512" s="36">
        <f>55937/1000000</f>
        <v>5.5937000000000001E-2</v>
      </c>
      <c r="I512" s="37">
        <f t="shared" si="117"/>
        <v>8.3905500000000001E-3</v>
      </c>
      <c r="J512" s="32">
        <f t="shared" si="105"/>
        <v>0.12445982500000002</v>
      </c>
      <c r="K512" s="33">
        <f t="shared" si="108"/>
        <v>1.8668973750000002E-2</v>
      </c>
      <c r="L512" s="33"/>
      <c r="O512" s="2">
        <f t="shared" si="109"/>
        <v>2.3307083333333336E-2</v>
      </c>
      <c r="P512" s="2">
        <f t="shared" si="110"/>
        <v>16.781100000000002</v>
      </c>
      <c r="Q512" s="7">
        <f t="shared" si="111"/>
        <v>76.001358695652186</v>
      </c>
      <c r="R512" s="2">
        <v>1.2</v>
      </c>
      <c r="S512" s="2">
        <f t="shared" si="106"/>
        <v>4.45</v>
      </c>
      <c r="T512" s="2"/>
      <c r="U512" s="2"/>
      <c r="Y512" s="8">
        <f t="shared" si="107"/>
        <v>2.705648369565218</v>
      </c>
    </row>
    <row r="513" spans="1:25" x14ac:dyDescent="0.25">
      <c r="A513" s="34">
        <f t="shared" si="119"/>
        <v>505</v>
      </c>
      <c r="B513" s="35" t="e">
        <f t="shared" si="119"/>
        <v>#REF!</v>
      </c>
      <c r="C513" s="42" t="s">
        <v>143</v>
      </c>
      <c r="D513" s="44" t="s">
        <v>67</v>
      </c>
      <c r="E513" s="43"/>
      <c r="F513" s="36">
        <f>94287/1000000</f>
        <v>9.4286999999999996E-2</v>
      </c>
      <c r="G513" s="36">
        <f t="shared" si="116"/>
        <v>1.8574539000000001E-2</v>
      </c>
      <c r="H513" s="36">
        <f>28704/1000000</f>
        <v>2.8704E-2</v>
      </c>
      <c r="I513" s="37">
        <f t="shared" si="117"/>
        <v>4.3055999999999997E-3</v>
      </c>
      <c r="J513" s="32">
        <f t="shared" si="105"/>
        <v>6.3866400000000004E-2</v>
      </c>
      <c r="K513" s="33">
        <f t="shared" si="108"/>
        <v>9.5799600000000002E-3</v>
      </c>
      <c r="L513" s="33"/>
      <c r="O513" s="2">
        <f t="shared" si="109"/>
        <v>1.196E-2</v>
      </c>
      <c r="P513" s="2">
        <f t="shared" si="110"/>
        <v>8.6112000000000002</v>
      </c>
      <c r="Q513" s="7">
        <f t="shared" si="111"/>
        <v>39</v>
      </c>
      <c r="R513" s="2">
        <v>1.2</v>
      </c>
      <c r="S513" s="2">
        <f t="shared" si="106"/>
        <v>4.45</v>
      </c>
      <c r="T513" s="2"/>
      <c r="U513" s="2"/>
      <c r="Y513" s="8">
        <f t="shared" si="107"/>
        <v>1.3884000000000001</v>
      </c>
    </row>
    <row r="514" spans="1:25" x14ac:dyDescent="0.25">
      <c r="A514" s="34">
        <f t="shared" si="119"/>
        <v>506</v>
      </c>
      <c r="B514" s="35" t="e">
        <f t="shared" si="119"/>
        <v>#REF!</v>
      </c>
      <c r="C514" s="42" t="s">
        <v>143</v>
      </c>
      <c r="D514" s="44" t="s">
        <v>113</v>
      </c>
      <c r="E514" s="43"/>
      <c r="F514" s="36">
        <f>95012/1000000</f>
        <v>9.5011999999999999E-2</v>
      </c>
      <c r="G514" s="36">
        <f t="shared" si="116"/>
        <v>1.8717364E-2</v>
      </c>
      <c r="H514" s="36">
        <f>27232/1000000</f>
        <v>2.7231999999999999E-2</v>
      </c>
      <c r="I514" s="37">
        <f t="shared" si="117"/>
        <v>4.0847999999999995E-3</v>
      </c>
      <c r="J514" s="32">
        <f t="shared" si="105"/>
        <v>6.0591199999999998E-2</v>
      </c>
      <c r="K514" s="33">
        <f t="shared" si="108"/>
        <v>9.08868E-3</v>
      </c>
      <c r="L514" s="33"/>
      <c r="O514" s="2">
        <f t="shared" si="109"/>
        <v>1.1346666666666666E-2</v>
      </c>
      <c r="P514" s="2">
        <f t="shared" si="110"/>
        <v>8.1696000000000009</v>
      </c>
      <c r="Q514" s="7">
        <f t="shared" si="111"/>
        <v>37.000000000000007</v>
      </c>
      <c r="R514" s="2">
        <v>1.2</v>
      </c>
      <c r="S514" s="2">
        <f t="shared" si="106"/>
        <v>4.45</v>
      </c>
      <c r="T514" s="2"/>
      <c r="U514" s="2"/>
      <c r="Y514" s="8">
        <f t="shared" si="107"/>
        <v>1.3171999999999999</v>
      </c>
    </row>
    <row r="515" spans="1:25" x14ac:dyDescent="0.25">
      <c r="A515" s="34">
        <f t="shared" si="119"/>
        <v>507</v>
      </c>
      <c r="B515" s="35" t="e">
        <f t="shared" si="119"/>
        <v>#REF!</v>
      </c>
      <c r="C515" s="42" t="s">
        <v>143</v>
      </c>
      <c r="D515" s="44" t="s">
        <v>114</v>
      </c>
      <c r="E515" s="43"/>
      <c r="F515" s="36">
        <f>247422/1000000</f>
        <v>0.247422</v>
      </c>
      <c r="G515" s="36">
        <f t="shared" si="116"/>
        <v>4.8742133999999999E-2</v>
      </c>
      <c r="H515" s="36">
        <f>95680/1000000</f>
        <v>9.5680000000000001E-2</v>
      </c>
      <c r="I515" s="37">
        <f t="shared" si="117"/>
        <v>1.4352E-2</v>
      </c>
      <c r="J515" s="32">
        <f t="shared" si="105"/>
        <v>0.21288800000000002</v>
      </c>
      <c r="K515" s="33">
        <f t="shared" si="108"/>
        <v>3.1933200000000002E-2</v>
      </c>
      <c r="L515" s="33"/>
      <c r="O515" s="2">
        <f t="shared" si="109"/>
        <v>3.9866666666666668E-2</v>
      </c>
      <c r="P515" s="2">
        <f t="shared" si="110"/>
        <v>28.704000000000004</v>
      </c>
      <c r="Q515" s="7">
        <f t="shared" si="111"/>
        <v>130.00000000000003</v>
      </c>
      <c r="R515" s="2">
        <v>1.2</v>
      </c>
      <c r="S515" s="2">
        <f t="shared" si="106"/>
        <v>4.45</v>
      </c>
      <c r="T515" s="2"/>
      <c r="U515" s="2"/>
      <c r="Y515" s="8">
        <f t="shared" si="107"/>
        <v>4.6280000000000001</v>
      </c>
    </row>
    <row r="516" spans="1:25" x14ac:dyDescent="0.25">
      <c r="A516" s="34">
        <f t="shared" si="119"/>
        <v>508</v>
      </c>
      <c r="B516" s="35" t="e">
        <f t="shared" si="119"/>
        <v>#REF!</v>
      </c>
      <c r="C516" s="42" t="s">
        <v>143</v>
      </c>
      <c r="D516" s="44" t="s">
        <v>115</v>
      </c>
      <c r="E516" s="43"/>
      <c r="F516" s="36">
        <f>435983/1000000</f>
        <v>0.43598300000000001</v>
      </c>
      <c r="G516" s="36">
        <f t="shared" si="116"/>
        <v>8.588865100000001E-2</v>
      </c>
      <c r="H516" s="36">
        <f>63296/1000000</f>
        <v>6.3296000000000005E-2</v>
      </c>
      <c r="I516" s="37">
        <f t="shared" si="117"/>
        <v>9.4944000000000001E-3</v>
      </c>
      <c r="J516" s="32">
        <f t="shared" si="105"/>
        <v>0.1408336</v>
      </c>
      <c r="K516" s="33">
        <f t="shared" si="108"/>
        <v>2.1125040000000001E-2</v>
      </c>
      <c r="L516" s="33"/>
      <c r="O516" s="2">
        <f t="shared" si="109"/>
        <v>2.6373333333333335E-2</v>
      </c>
      <c r="P516" s="2">
        <f t="shared" si="110"/>
        <v>18.988800000000001</v>
      </c>
      <c r="Q516" s="7">
        <f t="shared" si="111"/>
        <v>86</v>
      </c>
      <c r="R516" s="2">
        <v>1.2</v>
      </c>
      <c r="S516" s="2">
        <f t="shared" si="106"/>
        <v>4.45</v>
      </c>
      <c r="T516" s="2"/>
      <c r="U516" s="2"/>
      <c r="Y516" s="8">
        <f t="shared" si="107"/>
        <v>3.0616000000000003</v>
      </c>
    </row>
    <row r="517" spans="1:25" x14ac:dyDescent="0.25">
      <c r="A517" s="34">
        <f t="shared" si="119"/>
        <v>509</v>
      </c>
      <c r="B517" s="35" t="e">
        <f t="shared" si="119"/>
        <v>#REF!</v>
      </c>
      <c r="C517" s="42" t="s">
        <v>143</v>
      </c>
      <c r="D517" s="44" t="s">
        <v>69</v>
      </c>
      <c r="E517" s="43">
        <v>1</v>
      </c>
      <c r="F517" s="36">
        <f>107805/1000000</f>
        <v>0.107805</v>
      </c>
      <c r="G517" s="36">
        <f>F517*0.197</f>
        <v>2.1237585E-2</v>
      </c>
      <c r="H517" s="36">
        <f>127328/1000000</f>
        <v>0.127328</v>
      </c>
      <c r="I517" s="37">
        <f>H517*0.15</f>
        <v>1.90992E-2</v>
      </c>
      <c r="J517" s="32">
        <f t="shared" si="105"/>
        <v>0.23555680000000001</v>
      </c>
      <c r="K517" s="33">
        <f t="shared" si="108"/>
        <v>3.533352E-2</v>
      </c>
      <c r="L517" s="33"/>
      <c r="O517" s="2">
        <f t="shared" si="109"/>
        <v>5.3053333333333334E-2</v>
      </c>
      <c r="P517" s="2">
        <f t="shared" si="110"/>
        <v>38.198399999999999</v>
      </c>
      <c r="Q517" s="7">
        <f t="shared" si="111"/>
        <v>173</v>
      </c>
      <c r="R517" s="2">
        <v>1.2</v>
      </c>
      <c r="S517" s="2">
        <f t="shared" si="106"/>
        <v>3.7</v>
      </c>
      <c r="T517" s="2"/>
      <c r="U517" s="2"/>
      <c r="Y517" s="8">
        <f t="shared" si="107"/>
        <v>5.1208</v>
      </c>
    </row>
    <row r="518" spans="1:25" x14ac:dyDescent="0.25">
      <c r="A518" s="34">
        <f t="shared" si="119"/>
        <v>510</v>
      </c>
      <c r="B518" s="35" t="e">
        <f t="shared" si="119"/>
        <v>#REF!</v>
      </c>
      <c r="C518" s="42" t="s">
        <v>143</v>
      </c>
      <c r="D518" s="41" t="s">
        <v>69</v>
      </c>
      <c r="E518" s="35">
        <v>2</v>
      </c>
      <c r="F518" s="36">
        <f>251544/1000000</f>
        <v>0.25154399999999999</v>
      </c>
      <c r="G518" s="36">
        <f>F518*0.197</f>
        <v>4.9554168000000003E-2</v>
      </c>
      <c r="H518" s="36"/>
      <c r="I518" s="37">
        <f>H518*0.15</f>
        <v>0</v>
      </c>
      <c r="J518" s="32">
        <f t="shared" si="105"/>
        <v>0</v>
      </c>
      <c r="K518" s="33">
        <f t="shared" si="108"/>
        <v>0</v>
      </c>
      <c r="L518" s="33"/>
      <c r="O518" s="2">
        <f t="shared" si="109"/>
        <v>0</v>
      </c>
      <c r="P518" s="2">
        <f t="shared" si="110"/>
        <v>0</v>
      </c>
      <c r="Q518" s="7">
        <f t="shared" si="111"/>
        <v>0</v>
      </c>
      <c r="R518" s="2">
        <v>1.2</v>
      </c>
      <c r="S518" s="2">
        <f t="shared" si="106"/>
        <v>4.45</v>
      </c>
      <c r="T518" s="2"/>
      <c r="U518" s="2"/>
      <c r="Y518" s="8">
        <f t="shared" si="107"/>
        <v>0</v>
      </c>
    </row>
    <row r="519" spans="1:25" x14ac:dyDescent="0.25">
      <c r="A519" s="34">
        <f t="shared" si="119"/>
        <v>511</v>
      </c>
      <c r="B519" s="35" t="e">
        <f t="shared" si="119"/>
        <v>#REF!</v>
      </c>
      <c r="C519" s="42" t="s">
        <v>143</v>
      </c>
      <c r="D519" s="44" t="s">
        <v>70</v>
      </c>
      <c r="E519" s="43"/>
      <c r="F519" s="36">
        <f>121382/1000000</f>
        <v>0.121382</v>
      </c>
      <c r="G519" s="36">
        <f>F519*0.197</f>
        <v>2.3912254000000001E-2</v>
      </c>
      <c r="H519" s="36">
        <f>38272/1000000</f>
        <v>3.8272E-2</v>
      </c>
      <c r="I519" s="37">
        <f>H519*0.15</f>
        <v>5.7407999999999999E-3</v>
      </c>
      <c r="J519" s="32">
        <f t="shared" si="105"/>
        <v>8.51552E-2</v>
      </c>
      <c r="K519" s="33">
        <f t="shared" si="108"/>
        <v>1.277328E-2</v>
      </c>
      <c r="L519" s="33"/>
      <c r="O519" s="2">
        <f t="shared" si="109"/>
        <v>1.5946666666666668E-2</v>
      </c>
      <c r="P519" s="2">
        <f t="shared" si="110"/>
        <v>11.481600000000002</v>
      </c>
      <c r="Q519" s="7">
        <f t="shared" si="111"/>
        <v>52.000000000000007</v>
      </c>
      <c r="R519" s="2">
        <v>1.2</v>
      </c>
      <c r="S519" s="2">
        <f t="shared" si="106"/>
        <v>4.45</v>
      </c>
      <c r="T519" s="2"/>
      <c r="U519" s="2"/>
      <c r="Y519" s="8">
        <f t="shared" si="107"/>
        <v>1.8512000000000002</v>
      </c>
    </row>
    <row r="520" spans="1:25" x14ac:dyDescent="0.25">
      <c r="A520" s="34">
        <f t="shared" si="119"/>
        <v>512</v>
      </c>
      <c r="B520" s="35" t="e">
        <f t="shared" si="119"/>
        <v>#REF!</v>
      </c>
      <c r="C520" s="42" t="s">
        <v>143</v>
      </c>
      <c r="D520" s="44" t="s">
        <v>71</v>
      </c>
      <c r="E520" s="43"/>
      <c r="F520" s="36">
        <v>0.10299999999999999</v>
      </c>
      <c r="G520" s="36">
        <v>2.0299999999999999E-2</v>
      </c>
      <c r="H520" s="36">
        <v>2.4E-2</v>
      </c>
      <c r="I520" s="37">
        <v>3.5999999999999999E-3</v>
      </c>
      <c r="J520" s="32">
        <f t="shared" si="105"/>
        <v>5.3400000000000003E-2</v>
      </c>
      <c r="K520" s="33">
        <f t="shared" si="108"/>
        <v>8.0099999999999998E-3</v>
      </c>
      <c r="L520" s="33"/>
      <c r="O520" s="2">
        <f t="shared" si="109"/>
        <v>0.01</v>
      </c>
      <c r="P520" s="2">
        <f t="shared" si="110"/>
        <v>7.1999999999999993</v>
      </c>
      <c r="Q520" s="7">
        <f t="shared" si="111"/>
        <v>32.608695652173907</v>
      </c>
      <c r="R520" s="2">
        <v>1.2</v>
      </c>
      <c r="S520" s="2">
        <f t="shared" si="106"/>
        <v>4.45</v>
      </c>
      <c r="T520" s="2"/>
      <c r="U520" s="2"/>
      <c r="Y520" s="8">
        <f t="shared" si="107"/>
        <v>1.1608695652173915</v>
      </c>
    </row>
    <row r="521" spans="1:25" x14ac:dyDescent="0.25">
      <c r="A521" s="34">
        <f t="shared" si="119"/>
        <v>513</v>
      </c>
      <c r="B521" s="35" t="e">
        <f t="shared" si="119"/>
        <v>#REF!</v>
      </c>
      <c r="C521" s="42" t="s">
        <v>143</v>
      </c>
      <c r="D521" s="44" t="s">
        <v>72</v>
      </c>
      <c r="E521" s="43"/>
      <c r="F521" s="36">
        <f>327422/1000000</f>
        <v>0.32742199999999999</v>
      </c>
      <c r="G521" s="36">
        <f t="shared" ref="G521:G531" si="120">F521*0.197</f>
        <v>6.4502134000000003E-2</v>
      </c>
      <c r="H521" s="36">
        <f>91264/1000000</f>
        <v>9.1263999999999998E-2</v>
      </c>
      <c r="I521" s="37">
        <f t="shared" ref="I521:I531" si="121">H521*0.15</f>
        <v>1.36896E-2</v>
      </c>
      <c r="J521" s="32">
        <f t="shared" ref="J521:J584" si="122">O521*R521*S521</f>
        <v>0.2030624</v>
      </c>
      <c r="K521" s="33">
        <f t="shared" si="108"/>
        <v>3.0459359999999998E-2</v>
      </c>
      <c r="L521" s="33"/>
      <c r="O521" s="2">
        <f t="shared" si="109"/>
        <v>3.8026666666666667E-2</v>
      </c>
      <c r="P521" s="2">
        <f t="shared" si="110"/>
        <v>27.379200000000001</v>
      </c>
      <c r="Q521" s="7">
        <f t="shared" si="111"/>
        <v>124</v>
      </c>
      <c r="R521" s="2">
        <v>1.2</v>
      </c>
      <c r="S521" s="2">
        <f t="shared" ref="S521:S584" si="123">IF(Q521&lt;=$AE$6,$AF$6,IF(Q521&lt;=$AE$7,$AF$7,IF(Q521&lt;=$AE$8,$AF$8,IF(Q521&lt;=$AE$9,$AF$9,IF(Q521&lt;=$AE$10,$AF$10,0)))))</f>
        <v>4.45</v>
      </c>
      <c r="T521" s="2"/>
      <c r="U521" s="2"/>
      <c r="Y521" s="8">
        <f t="shared" ref="Y521:Y584" si="124">J521/46*1000</f>
        <v>4.4143999999999997</v>
      </c>
    </row>
    <row r="522" spans="1:25" x14ac:dyDescent="0.25">
      <c r="A522" s="34">
        <f t="shared" si="119"/>
        <v>514</v>
      </c>
      <c r="B522" s="35" t="e">
        <f t="shared" si="119"/>
        <v>#REF!</v>
      </c>
      <c r="C522" s="42" t="s">
        <v>143</v>
      </c>
      <c r="D522" s="44" t="s">
        <v>73</v>
      </c>
      <c r="E522" s="43"/>
      <c r="F522" s="36">
        <f>93970/1000000</f>
        <v>9.3969999999999998E-2</v>
      </c>
      <c r="G522" s="36">
        <f t="shared" si="120"/>
        <v>1.8512090000000002E-2</v>
      </c>
      <c r="H522" s="36">
        <f>32384/1000000</f>
        <v>3.2384000000000003E-2</v>
      </c>
      <c r="I522" s="37">
        <f t="shared" si="121"/>
        <v>4.8576000000000001E-3</v>
      </c>
      <c r="J522" s="32">
        <f t="shared" si="122"/>
        <v>7.2054400000000005E-2</v>
      </c>
      <c r="K522" s="33">
        <f t="shared" ref="K522:K585" si="125">J522*0.15</f>
        <v>1.0808160000000001E-2</v>
      </c>
      <c r="L522" s="33"/>
      <c r="O522" s="2">
        <f t="shared" si="109"/>
        <v>1.3493333333333335E-2</v>
      </c>
      <c r="P522" s="2">
        <f t="shared" si="110"/>
        <v>9.7152000000000012</v>
      </c>
      <c r="Q522" s="7">
        <f t="shared" si="111"/>
        <v>44.000000000000007</v>
      </c>
      <c r="R522" s="2">
        <v>1.2</v>
      </c>
      <c r="S522" s="2">
        <f t="shared" si="123"/>
        <v>4.45</v>
      </c>
      <c r="T522" s="2"/>
      <c r="U522" s="2"/>
      <c r="Y522" s="8">
        <f t="shared" si="124"/>
        <v>1.5664000000000002</v>
      </c>
    </row>
    <row r="523" spans="1:25" x14ac:dyDescent="0.25">
      <c r="A523" s="34">
        <f t="shared" si="119"/>
        <v>515</v>
      </c>
      <c r="B523" s="35" t="e">
        <f t="shared" si="119"/>
        <v>#REF!</v>
      </c>
      <c r="C523" s="42" t="s">
        <v>143</v>
      </c>
      <c r="D523" s="44" t="s">
        <v>74</v>
      </c>
      <c r="E523" s="43">
        <v>1</v>
      </c>
      <c r="F523" s="36">
        <f>97009.5/1000000</f>
        <v>9.7009499999999999E-2</v>
      </c>
      <c r="G523" s="36">
        <f t="shared" si="120"/>
        <v>1.9110871500000001E-2</v>
      </c>
      <c r="H523" s="36">
        <f>112606/1000000</f>
        <v>0.112606</v>
      </c>
      <c r="I523" s="37">
        <f t="shared" si="121"/>
        <v>1.68909E-2</v>
      </c>
      <c r="J523" s="32">
        <f t="shared" si="122"/>
        <v>0.20832109999999998</v>
      </c>
      <c r="K523" s="33">
        <f t="shared" si="125"/>
        <v>3.1248164999999994E-2</v>
      </c>
      <c r="L523" s="33"/>
      <c r="O523" s="2">
        <f t="shared" ref="O523:O586" si="126">H523/2.4</f>
        <v>4.6919166666666665E-2</v>
      </c>
      <c r="P523" s="2">
        <f t="shared" ref="P523:P586" si="127">O523*24*30</f>
        <v>33.781799999999997</v>
      </c>
      <c r="Q523" s="7">
        <f t="shared" ref="Q523:Q586" si="128">P523/0.2208</f>
        <v>152.99728260869563</v>
      </c>
      <c r="R523" s="2">
        <v>1.2</v>
      </c>
      <c r="S523" s="2">
        <f t="shared" si="123"/>
        <v>3.7</v>
      </c>
      <c r="T523" s="2"/>
      <c r="U523" s="2"/>
      <c r="Y523" s="8">
        <f t="shared" si="124"/>
        <v>4.5287195652173908</v>
      </c>
    </row>
    <row r="524" spans="1:25" x14ac:dyDescent="0.25">
      <c r="A524" s="34">
        <f t="shared" ref="A524:B539" si="129">A523+1</f>
        <v>516</v>
      </c>
      <c r="B524" s="35" t="e">
        <f t="shared" si="129"/>
        <v>#REF!</v>
      </c>
      <c r="C524" s="42" t="s">
        <v>143</v>
      </c>
      <c r="D524" s="35">
        <v>46</v>
      </c>
      <c r="E524" s="35">
        <v>2</v>
      </c>
      <c r="F524" s="36">
        <f>226355.5/1000000</f>
        <v>0.22635549999999999</v>
      </c>
      <c r="G524" s="36">
        <f t="shared" si="120"/>
        <v>4.4592033499999996E-2</v>
      </c>
      <c r="H524" s="36">
        <v>0</v>
      </c>
      <c r="I524" s="37">
        <f t="shared" si="121"/>
        <v>0</v>
      </c>
      <c r="J524" s="32">
        <f t="shared" si="122"/>
        <v>0</v>
      </c>
      <c r="K524" s="33">
        <f t="shared" si="125"/>
        <v>0</v>
      </c>
      <c r="L524" s="33"/>
      <c r="O524" s="2">
        <f t="shared" si="126"/>
        <v>0</v>
      </c>
      <c r="P524" s="2">
        <f t="shared" si="127"/>
        <v>0</v>
      </c>
      <c r="Q524" s="7">
        <f t="shared" si="128"/>
        <v>0</v>
      </c>
      <c r="R524" s="2">
        <v>1.2</v>
      </c>
      <c r="S524" s="2">
        <f t="shared" si="123"/>
        <v>4.45</v>
      </c>
      <c r="T524" s="2"/>
      <c r="U524" s="2"/>
      <c r="Y524" s="8">
        <f t="shared" si="124"/>
        <v>0</v>
      </c>
    </row>
    <row r="525" spans="1:25" x14ac:dyDescent="0.25">
      <c r="A525" s="34">
        <f t="shared" si="129"/>
        <v>517</v>
      </c>
      <c r="B525" s="35" t="e">
        <f t="shared" si="129"/>
        <v>#REF!</v>
      </c>
      <c r="C525" s="42" t="s">
        <v>143</v>
      </c>
      <c r="D525" s="43">
        <v>47</v>
      </c>
      <c r="E525" s="43"/>
      <c r="F525" s="36">
        <f>112325/1000000</f>
        <v>0.11232499999999999</v>
      </c>
      <c r="G525" s="36">
        <f t="shared" si="120"/>
        <v>2.2128024999999999E-2</v>
      </c>
      <c r="H525" s="36">
        <f>33856/1000000</f>
        <v>3.3855999999999997E-2</v>
      </c>
      <c r="I525" s="37">
        <f t="shared" si="121"/>
        <v>5.0783999999999994E-3</v>
      </c>
      <c r="J525" s="32">
        <f t="shared" si="122"/>
        <v>7.5329599999999997E-2</v>
      </c>
      <c r="K525" s="33">
        <f t="shared" si="125"/>
        <v>1.1299439999999999E-2</v>
      </c>
      <c r="L525" s="33"/>
      <c r="O525" s="2">
        <f t="shared" si="126"/>
        <v>1.4106666666666667E-2</v>
      </c>
      <c r="P525" s="2">
        <f t="shared" si="127"/>
        <v>10.156799999999999</v>
      </c>
      <c r="Q525" s="7">
        <f t="shared" si="128"/>
        <v>45.999999999999993</v>
      </c>
      <c r="R525" s="2">
        <v>1.2</v>
      </c>
      <c r="S525" s="2">
        <f t="shared" si="123"/>
        <v>4.45</v>
      </c>
      <c r="T525" s="2"/>
      <c r="U525" s="2"/>
      <c r="Y525" s="8">
        <f t="shared" si="124"/>
        <v>1.6375999999999999</v>
      </c>
    </row>
    <row r="526" spans="1:25" x14ac:dyDescent="0.25">
      <c r="A526" s="34">
        <f t="shared" si="129"/>
        <v>518</v>
      </c>
      <c r="B526" s="35" t="e">
        <f t="shared" si="129"/>
        <v>#REF!</v>
      </c>
      <c r="C526" s="42" t="s">
        <v>143</v>
      </c>
      <c r="D526" s="43">
        <v>48</v>
      </c>
      <c r="E526" s="43"/>
      <c r="F526" s="36">
        <f>188009/1000000</f>
        <v>0.18800900000000001</v>
      </c>
      <c r="G526" s="36">
        <f t="shared" si="120"/>
        <v>3.7037773000000003E-2</v>
      </c>
      <c r="H526" s="36">
        <f>57408/1000000</f>
        <v>5.7408000000000001E-2</v>
      </c>
      <c r="I526" s="37">
        <f t="shared" si="121"/>
        <v>8.6111999999999994E-3</v>
      </c>
      <c r="J526" s="32">
        <f t="shared" si="122"/>
        <v>0.12773280000000001</v>
      </c>
      <c r="K526" s="33">
        <f t="shared" si="125"/>
        <v>1.915992E-2</v>
      </c>
      <c r="L526" s="33"/>
      <c r="O526" s="2">
        <f t="shared" si="126"/>
        <v>2.392E-2</v>
      </c>
      <c r="P526" s="2">
        <f t="shared" si="127"/>
        <v>17.2224</v>
      </c>
      <c r="Q526" s="7">
        <f t="shared" si="128"/>
        <v>78</v>
      </c>
      <c r="R526" s="2">
        <v>1.2</v>
      </c>
      <c r="S526" s="2">
        <f t="shared" si="123"/>
        <v>4.45</v>
      </c>
      <c r="T526" s="2"/>
      <c r="U526" s="2"/>
      <c r="Y526" s="8">
        <f t="shared" si="124"/>
        <v>2.7768000000000002</v>
      </c>
    </row>
    <row r="527" spans="1:25" x14ac:dyDescent="0.25">
      <c r="A527" s="34">
        <f t="shared" si="129"/>
        <v>519</v>
      </c>
      <c r="B527" s="35" t="e">
        <f t="shared" si="129"/>
        <v>#REF!</v>
      </c>
      <c r="C527" s="42" t="s">
        <v>143</v>
      </c>
      <c r="D527" s="43">
        <v>49</v>
      </c>
      <c r="E527" s="43"/>
      <c r="F527" s="36">
        <f>159953/1000000</f>
        <v>0.15995300000000001</v>
      </c>
      <c r="G527" s="36">
        <f t="shared" si="120"/>
        <v>3.1510741000000002E-2</v>
      </c>
      <c r="H527" s="36">
        <f>52994/1000000</f>
        <v>5.2993999999999999E-2</v>
      </c>
      <c r="I527" s="37">
        <f t="shared" si="121"/>
        <v>7.9490999999999989E-3</v>
      </c>
      <c r="J527" s="32">
        <f t="shared" si="122"/>
        <v>0.11791165000000001</v>
      </c>
      <c r="K527" s="33">
        <f t="shared" si="125"/>
        <v>1.7686747499999999E-2</v>
      </c>
      <c r="L527" s="33"/>
      <c r="O527" s="2">
        <f t="shared" si="126"/>
        <v>2.2080833333333334E-2</v>
      </c>
      <c r="P527" s="2">
        <f t="shared" si="127"/>
        <v>15.898200000000003</v>
      </c>
      <c r="Q527" s="7">
        <f t="shared" si="128"/>
        <v>72.002717391304358</v>
      </c>
      <c r="R527" s="2">
        <v>1.2</v>
      </c>
      <c r="S527" s="2">
        <f t="shared" si="123"/>
        <v>4.45</v>
      </c>
      <c r="T527" s="2"/>
      <c r="U527" s="2"/>
      <c r="Y527" s="8">
        <f t="shared" si="124"/>
        <v>2.5632967391304349</v>
      </c>
    </row>
    <row r="528" spans="1:25" x14ac:dyDescent="0.25">
      <c r="A528" s="34">
        <f t="shared" si="129"/>
        <v>520</v>
      </c>
      <c r="B528" s="35" t="e">
        <f t="shared" si="129"/>
        <v>#REF!</v>
      </c>
      <c r="C528" s="42" t="s">
        <v>143</v>
      </c>
      <c r="D528" s="43">
        <v>50</v>
      </c>
      <c r="E528" s="43"/>
      <c r="F528" s="36">
        <f>298428/1000000</f>
        <v>0.29842800000000003</v>
      </c>
      <c r="G528" s="36">
        <f t="shared" si="120"/>
        <v>5.8790316000000009E-2</v>
      </c>
      <c r="H528" s="36">
        <f>96416/1000000</f>
        <v>9.6416000000000002E-2</v>
      </c>
      <c r="I528" s="37">
        <f t="shared" si="121"/>
        <v>1.44624E-2</v>
      </c>
      <c r="J528" s="32">
        <f t="shared" si="122"/>
        <v>0.21452560000000004</v>
      </c>
      <c r="K528" s="33">
        <f t="shared" si="125"/>
        <v>3.2178840000000007E-2</v>
      </c>
      <c r="L528" s="33"/>
      <c r="O528" s="2">
        <f t="shared" si="126"/>
        <v>4.0173333333333339E-2</v>
      </c>
      <c r="P528" s="2">
        <f t="shared" si="127"/>
        <v>28.924800000000005</v>
      </c>
      <c r="Q528" s="7">
        <f t="shared" si="128"/>
        <v>131.00000000000003</v>
      </c>
      <c r="R528" s="2">
        <v>1.2</v>
      </c>
      <c r="S528" s="2">
        <f t="shared" si="123"/>
        <v>4.45</v>
      </c>
      <c r="T528" s="2"/>
      <c r="U528" s="2"/>
      <c r="Y528" s="8">
        <f t="shared" si="124"/>
        <v>4.6636000000000015</v>
      </c>
    </row>
    <row r="529" spans="1:25" x14ac:dyDescent="0.25">
      <c r="A529" s="34">
        <f t="shared" si="129"/>
        <v>521</v>
      </c>
      <c r="B529" s="35" t="e">
        <f t="shared" si="129"/>
        <v>#REF!</v>
      </c>
      <c r="C529" s="42" t="s">
        <v>143</v>
      </c>
      <c r="D529" s="43">
        <v>51</v>
      </c>
      <c r="E529" s="43"/>
      <c r="F529" s="36">
        <f>155086/1000000</f>
        <v>0.155086</v>
      </c>
      <c r="G529" s="36">
        <f t="shared" si="120"/>
        <v>3.0551942000000002E-2</v>
      </c>
      <c r="H529" s="36">
        <f>52992/1000000</f>
        <v>5.2991999999999997E-2</v>
      </c>
      <c r="I529" s="37">
        <f t="shared" si="121"/>
        <v>7.9487999999999989E-3</v>
      </c>
      <c r="J529" s="32">
        <f t="shared" si="122"/>
        <v>0.1179072</v>
      </c>
      <c r="K529" s="33">
        <f t="shared" si="125"/>
        <v>1.768608E-2</v>
      </c>
      <c r="L529" s="33"/>
      <c r="O529" s="2">
        <f t="shared" si="126"/>
        <v>2.2079999999999999E-2</v>
      </c>
      <c r="P529" s="2">
        <f t="shared" si="127"/>
        <v>15.897599999999999</v>
      </c>
      <c r="Q529" s="7">
        <f t="shared" si="128"/>
        <v>72</v>
      </c>
      <c r="R529" s="2">
        <v>1.2</v>
      </c>
      <c r="S529" s="2">
        <f t="shared" si="123"/>
        <v>4.45</v>
      </c>
      <c r="T529" s="2"/>
      <c r="U529" s="2"/>
      <c r="Y529" s="8">
        <f t="shared" si="124"/>
        <v>2.5632000000000001</v>
      </c>
    </row>
    <row r="530" spans="1:25" x14ac:dyDescent="0.25">
      <c r="A530" s="34">
        <f t="shared" si="129"/>
        <v>522</v>
      </c>
      <c r="B530" s="35" t="e">
        <f t="shared" si="129"/>
        <v>#REF!</v>
      </c>
      <c r="C530" s="42" t="s">
        <v>143</v>
      </c>
      <c r="D530" s="43">
        <v>52</v>
      </c>
      <c r="E530" s="43"/>
      <c r="F530" s="36">
        <f>158037/1000000</f>
        <v>0.15803700000000001</v>
      </c>
      <c r="G530" s="36">
        <f t="shared" si="120"/>
        <v>3.1133289000000005E-2</v>
      </c>
      <c r="H530" s="36">
        <f>37536/1000000</f>
        <v>3.7536E-2</v>
      </c>
      <c r="I530" s="37">
        <f t="shared" si="121"/>
        <v>5.6303999999999998E-3</v>
      </c>
      <c r="J530" s="32">
        <f t="shared" si="122"/>
        <v>8.3517599999999997E-2</v>
      </c>
      <c r="K530" s="33">
        <f t="shared" si="125"/>
        <v>1.252764E-2</v>
      </c>
      <c r="L530" s="33"/>
      <c r="O530" s="2">
        <f t="shared" si="126"/>
        <v>1.5640000000000001E-2</v>
      </c>
      <c r="P530" s="2">
        <f t="shared" si="127"/>
        <v>11.260800000000001</v>
      </c>
      <c r="Q530" s="7">
        <f t="shared" si="128"/>
        <v>51.000000000000007</v>
      </c>
      <c r="R530" s="2">
        <v>1.2</v>
      </c>
      <c r="S530" s="2">
        <f t="shared" si="123"/>
        <v>4.45</v>
      </c>
      <c r="T530" s="2"/>
      <c r="U530" s="2"/>
      <c r="Y530" s="8">
        <f t="shared" si="124"/>
        <v>1.8155999999999999</v>
      </c>
    </row>
    <row r="531" spans="1:25" x14ac:dyDescent="0.25">
      <c r="A531" s="34">
        <f t="shared" si="129"/>
        <v>523</v>
      </c>
      <c r="B531" s="35" t="e">
        <f t="shared" si="129"/>
        <v>#REF!</v>
      </c>
      <c r="C531" s="42" t="s">
        <v>143</v>
      </c>
      <c r="D531" s="43" t="s">
        <v>146</v>
      </c>
      <c r="E531" s="43"/>
      <c r="F531" s="36">
        <f>297845/1000000</f>
        <v>0.29784500000000003</v>
      </c>
      <c r="G531" s="36">
        <f t="shared" si="120"/>
        <v>5.867546500000001E-2</v>
      </c>
      <c r="H531" s="36">
        <f>53728/1000000</f>
        <v>5.3727999999999998E-2</v>
      </c>
      <c r="I531" s="37">
        <f t="shared" si="121"/>
        <v>8.059199999999999E-3</v>
      </c>
      <c r="J531" s="32">
        <f t="shared" si="122"/>
        <v>0.11954480000000001</v>
      </c>
      <c r="K531" s="33">
        <f t="shared" si="125"/>
        <v>1.7931720000000002E-2</v>
      </c>
      <c r="L531" s="33"/>
      <c r="O531" s="2">
        <f t="shared" si="126"/>
        <v>2.2386666666666666E-2</v>
      </c>
      <c r="P531" s="2">
        <f t="shared" si="127"/>
        <v>16.118400000000001</v>
      </c>
      <c r="Q531" s="7">
        <f t="shared" si="128"/>
        <v>73</v>
      </c>
      <c r="R531" s="2">
        <v>1.2</v>
      </c>
      <c r="S531" s="2">
        <f t="shared" si="123"/>
        <v>4.45</v>
      </c>
      <c r="T531" s="2"/>
      <c r="U531" s="2"/>
      <c r="Y531" s="8">
        <f t="shared" si="124"/>
        <v>2.5988000000000002</v>
      </c>
    </row>
    <row r="532" spans="1:25" x14ac:dyDescent="0.25">
      <c r="A532" s="34">
        <f t="shared" si="129"/>
        <v>524</v>
      </c>
      <c r="B532" s="35" t="e">
        <f t="shared" si="129"/>
        <v>#REF!</v>
      </c>
      <c r="C532" s="42" t="s">
        <v>143</v>
      </c>
      <c r="D532" s="43">
        <v>78</v>
      </c>
      <c r="E532" s="43"/>
      <c r="F532" s="36">
        <f>105232/1000000</f>
        <v>0.10523200000000001</v>
      </c>
      <c r="G532" s="36">
        <f>F532*0.197</f>
        <v>2.0730704000000003E-2</v>
      </c>
      <c r="H532" s="36">
        <f>29441/1000000</f>
        <v>2.9440999999999998E-2</v>
      </c>
      <c r="I532" s="37">
        <f>H532*0.15</f>
        <v>4.4161499999999998E-3</v>
      </c>
      <c r="J532" s="32">
        <f t="shared" si="122"/>
        <v>6.5506225000000001E-2</v>
      </c>
      <c r="K532" s="33">
        <f t="shared" si="125"/>
        <v>9.8259337499999998E-3</v>
      </c>
      <c r="L532" s="33"/>
      <c r="O532" s="2">
        <f t="shared" si="126"/>
        <v>1.2267083333333333E-2</v>
      </c>
      <c r="P532" s="2">
        <f t="shared" si="127"/>
        <v>8.8323</v>
      </c>
      <c r="Q532" s="7">
        <f t="shared" si="128"/>
        <v>40.001358695652172</v>
      </c>
      <c r="R532" s="2">
        <v>1.2</v>
      </c>
      <c r="S532" s="2">
        <f t="shared" si="123"/>
        <v>4.45</v>
      </c>
      <c r="T532" s="2"/>
      <c r="U532" s="2"/>
      <c r="Y532" s="8">
        <f t="shared" si="124"/>
        <v>1.4240483695652175</v>
      </c>
    </row>
    <row r="533" spans="1:25" x14ac:dyDescent="0.25">
      <c r="A533" s="34">
        <f t="shared" si="129"/>
        <v>525</v>
      </c>
      <c r="B533" s="35" t="e">
        <f t="shared" si="129"/>
        <v>#REF!</v>
      </c>
      <c r="C533" s="42" t="s">
        <v>143</v>
      </c>
      <c r="D533" s="43" t="s">
        <v>147</v>
      </c>
      <c r="E533" s="43"/>
      <c r="F533" s="36">
        <f>252795/1000000</f>
        <v>0.25279499999999999</v>
      </c>
      <c r="G533" s="36">
        <f>F533*0.197</f>
        <v>4.9800614999999999E-2</v>
      </c>
      <c r="H533" s="36">
        <f>46368/1000000</f>
        <v>4.6367999999999999E-2</v>
      </c>
      <c r="I533" s="37">
        <f>H533*0.15</f>
        <v>6.9551999999999999E-3</v>
      </c>
      <c r="J533" s="32">
        <f t="shared" si="122"/>
        <v>0.1031688</v>
      </c>
      <c r="K533" s="33">
        <f t="shared" si="125"/>
        <v>1.5475320000000001E-2</v>
      </c>
      <c r="L533" s="33"/>
      <c r="O533" s="2">
        <f t="shared" si="126"/>
        <v>1.932E-2</v>
      </c>
      <c r="P533" s="2">
        <f t="shared" si="127"/>
        <v>13.910399999999999</v>
      </c>
      <c r="Q533" s="7">
        <f t="shared" si="128"/>
        <v>63</v>
      </c>
      <c r="R533" s="2">
        <v>1.2</v>
      </c>
      <c r="S533" s="2">
        <f t="shared" si="123"/>
        <v>4.45</v>
      </c>
      <c r="T533" s="2"/>
      <c r="U533" s="2"/>
      <c r="Y533" s="8">
        <f t="shared" si="124"/>
        <v>2.2427999999999999</v>
      </c>
    </row>
    <row r="534" spans="1:25" x14ac:dyDescent="0.25">
      <c r="A534" s="34">
        <f t="shared" si="129"/>
        <v>526</v>
      </c>
      <c r="B534" s="35" t="e">
        <f t="shared" si="129"/>
        <v>#REF!</v>
      </c>
      <c r="C534" s="42" t="s">
        <v>148</v>
      </c>
      <c r="D534" s="43">
        <v>1</v>
      </c>
      <c r="E534" s="43">
        <v>1</v>
      </c>
      <c r="F534" s="36">
        <f>113388/1000000</f>
        <v>0.113388</v>
      </c>
      <c r="G534" s="36">
        <f>F534*0.197</f>
        <v>2.2337436000000002E-2</v>
      </c>
      <c r="H534" s="36">
        <f>68080/1000000</f>
        <v>6.8080000000000002E-2</v>
      </c>
      <c r="I534" s="37">
        <f>H534*0.15</f>
        <v>1.0212000000000001E-2</v>
      </c>
      <c r="J534" s="32">
        <f t="shared" si="122"/>
        <v>0.151478</v>
      </c>
      <c r="K534" s="33">
        <f t="shared" si="125"/>
        <v>2.2721700000000001E-2</v>
      </c>
      <c r="L534" s="33"/>
      <c r="O534" s="2">
        <f t="shared" si="126"/>
        <v>2.8366666666666669E-2</v>
      </c>
      <c r="P534" s="2">
        <f t="shared" si="127"/>
        <v>20.424000000000003</v>
      </c>
      <c r="Q534" s="7">
        <f t="shared" si="128"/>
        <v>92.500000000000014</v>
      </c>
      <c r="R534" s="2">
        <v>1.2</v>
      </c>
      <c r="S534" s="2">
        <f t="shared" si="123"/>
        <v>4.45</v>
      </c>
      <c r="T534" s="2"/>
      <c r="U534" s="2"/>
      <c r="Y534" s="8">
        <f t="shared" si="124"/>
        <v>3.2929999999999997</v>
      </c>
    </row>
    <row r="535" spans="1:25" x14ac:dyDescent="0.25">
      <c r="A535" s="34">
        <f t="shared" si="129"/>
        <v>527</v>
      </c>
      <c r="B535" s="35" t="e">
        <f t="shared" si="129"/>
        <v>#REF!</v>
      </c>
      <c r="C535" s="42" t="s">
        <v>148</v>
      </c>
      <c r="D535" s="35">
        <v>1</v>
      </c>
      <c r="E535" s="35">
        <v>2</v>
      </c>
      <c r="F535" s="36">
        <f>113388/1000000</f>
        <v>0.113388</v>
      </c>
      <c r="G535" s="36">
        <f>F535*0.197</f>
        <v>2.2337436000000002E-2</v>
      </c>
      <c r="H535" s="36">
        <f>68080/1000000</f>
        <v>6.8080000000000002E-2</v>
      </c>
      <c r="I535" s="37">
        <f>H535*0.15</f>
        <v>1.0212000000000001E-2</v>
      </c>
      <c r="J535" s="32">
        <f t="shared" si="122"/>
        <v>0.151478</v>
      </c>
      <c r="K535" s="33">
        <f t="shared" si="125"/>
        <v>2.2721700000000001E-2</v>
      </c>
      <c r="L535" s="33"/>
      <c r="O535" s="2">
        <f t="shared" si="126"/>
        <v>2.8366666666666669E-2</v>
      </c>
      <c r="P535" s="2">
        <f t="shared" si="127"/>
        <v>20.424000000000003</v>
      </c>
      <c r="Q535" s="7">
        <f t="shared" si="128"/>
        <v>92.500000000000014</v>
      </c>
      <c r="R535" s="2">
        <v>1.2</v>
      </c>
      <c r="S535" s="2">
        <f t="shared" si="123"/>
        <v>4.45</v>
      </c>
      <c r="T535" s="2"/>
      <c r="U535" s="2"/>
      <c r="Y535" s="8">
        <f t="shared" si="124"/>
        <v>3.2929999999999997</v>
      </c>
    </row>
    <row r="536" spans="1:25" x14ac:dyDescent="0.25">
      <c r="A536" s="34">
        <f t="shared" si="129"/>
        <v>528</v>
      </c>
      <c r="B536" s="35" t="e">
        <f t="shared" si="129"/>
        <v>#REF!</v>
      </c>
      <c r="C536" s="42" t="s">
        <v>148</v>
      </c>
      <c r="D536" s="45" t="s">
        <v>40</v>
      </c>
      <c r="E536" s="34"/>
      <c r="F536" s="36">
        <f>226108/1000000</f>
        <v>0.226108</v>
      </c>
      <c r="G536" s="36">
        <f>F536*0.197</f>
        <v>4.4543276E-2</v>
      </c>
      <c r="H536" s="36">
        <f>113344/1000000</f>
        <v>0.113344</v>
      </c>
      <c r="I536" s="37">
        <f>H536*0.15</f>
        <v>1.7001599999999999E-2</v>
      </c>
      <c r="J536" s="32">
        <f t="shared" si="122"/>
        <v>0.20968640000000002</v>
      </c>
      <c r="K536" s="33">
        <f t="shared" si="125"/>
        <v>3.1452960000000002E-2</v>
      </c>
      <c r="L536" s="33"/>
      <c r="O536" s="2">
        <f t="shared" si="126"/>
        <v>4.7226666666666667E-2</v>
      </c>
      <c r="P536" s="2">
        <f t="shared" si="127"/>
        <v>34.0032</v>
      </c>
      <c r="Q536" s="7">
        <f t="shared" si="128"/>
        <v>154</v>
      </c>
      <c r="R536" s="2">
        <v>1.2</v>
      </c>
      <c r="S536" s="2">
        <f t="shared" si="123"/>
        <v>3.7</v>
      </c>
      <c r="T536" s="2"/>
      <c r="U536" s="2"/>
      <c r="Y536" s="8">
        <f t="shared" si="124"/>
        <v>4.5584000000000007</v>
      </c>
    </row>
    <row r="537" spans="1:25" x14ac:dyDescent="0.25">
      <c r="A537" s="34">
        <f t="shared" si="129"/>
        <v>529</v>
      </c>
      <c r="B537" s="35" t="e">
        <f t="shared" si="129"/>
        <v>#REF!</v>
      </c>
      <c r="C537" s="42" t="s">
        <v>148</v>
      </c>
      <c r="D537" s="44" t="s">
        <v>41</v>
      </c>
      <c r="E537" s="43">
        <v>1</v>
      </c>
      <c r="F537" s="36">
        <v>0.1321</v>
      </c>
      <c r="G537" s="36">
        <v>2.5999999999999999E-2</v>
      </c>
      <c r="H537" s="36">
        <v>9.8000000000000004E-2</v>
      </c>
      <c r="I537" s="37">
        <v>1.47E-2</v>
      </c>
      <c r="J537" s="32">
        <f t="shared" si="122"/>
        <v>0.21805000000000005</v>
      </c>
      <c r="K537" s="33">
        <f t="shared" si="125"/>
        <v>3.2707500000000007E-2</v>
      </c>
      <c r="L537" s="33"/>
      <c r="O537" s="2">
        <f t="shared" si="126"/>
        <v>4.083333333333334E-2</v>
      </c>
      <c r="P537" s="2">
        <f t="shared" si="127"/>
        <v>29.400000000000006</v>
      </c>
      <c r="Q537" s="7">
        <f t="shared" si="128"/>
        <v>133.1521739130435</v>
      </c>
      <c r="R537" s="2">
        <v>1.2</v>
      </c>
      <c r="S537" s="2">
        <f t="shared" si="123"/>
        <v>4.45</v>
      </c>
      <c r="T537" s="2"/>
      <c r="U537" s="2"/>
      <c r="Y537" s="8">
        <f t="shared" si="124"/>
        <v>4.7402173913043493</v>
      </c>
    </row>
    <row r="538" spans="1:25" x14ac:dyDescent="0.25">
      <c r="A538" s="34">
        <f t="shared" si="129"/>
        <v>530</v>
      </c>
      <c r="B538" s="35" t="e">
        <f t="shared" si="129"/>
        <v>#REF!</v>
      </c>
      <c r="C538" s="42" t="s">
        <v>148</v>
      </c>
      <c r="D538" s="41" t="s">
        <v>41</v>
      </c>
      <c r="E538" s="35">
        <v>2</v>
      </c>
      <c r="F538" s="36">
        <v>0.1321</v>
      </c>
      <c r="G538" s="36">
        <v>2.5999999999999999E-2</v>
      </c>
      <c r="H538" s="36">
        <v>9.8000000000000004E-2</v>
      </c>
      <c r="I538" s="37">
        <v>1.47E-2</v>
      </c>
      <c r="J538" s="32">
        <f t="shared" si="122"/>
        <v>0.21805000000000005</v>
      </c>
      <c r="K538" s="33">
        <f t="shared" si="125"/>
        <v>3.2707500000000007E-2</v>
      </c>
      <c r="L538" s="33"/>
      <c r="O538" s="2">
        <f t="shared" si="126"/>
        <v>4.083333333333334E-2</v>
      </c>
      <c r="P538" s="2">
        <f t="shared" si="127"/>
        <v>29.400000000000006</v>
      </c>
      <c r="Q538" s="7">
        <f t="shared" si="128"/>
        <v>133.1521739130435</v>
      </c>
      <c r="R538" s="2">
        <v>1.2</v>
      </c>
      <c r="S538" s="2">
        <f t="shared" si="123"/>
        <v>4.45</v>
      </c>
      <c r="T538" s="2"/>
      <c r="U538" s="2"/>
      <c r="Y538" s="8">
        <f t="shared" si="124"/>
        <v>4.7402173913043493</v>
      </c>
    </row>
    <row r="539" spans="1:25" x14ac:dyDescent="0.25">
      <c r="A539" s="34">
        <f t="shared" si="129"/>
        <v>531</v>
      </c>
      <c r="B539" s="35" t="e">
        <f t="shared" si="129"/>
        <v>#REF!</v>
      </c>
      <c r="C539" s="42" t="s">
        <v>148</v>
      </c>
      <c r="D539" s="44" t="s">
        <v>43</v>
      </c>
      <c r="E539" s="43">
        <v>1</v>
      </c>
      <c r="F539" s="36">
        <v>0.12139999999999999</v>
      </c>
      <c r="G539" s="36">
        <v>2.3900000000000001E-2</v>
      </c>
      <c r="H539" s="36">
        <v>7.9000000000000001E-2</v>
      </c>
      <c r="I539" s="37">
        <v>1.18E-2</v>
      </c>
      <c r="J539" s="32">
        <f t="shared" si="122"/>
        <v>0.17577500000000001</v>
      </c>
      <c r="K539" s="33">
        <f t="shared" si="125"/>
        <v>2.6366250000000001E-2</v>
      </c>
      <c r="L539" s="33"/>
      <c r="O539" s="2">
        <f t="shared" si="126"/>
        <v>3.291666666666667E-2</v>
      </c>
      <c r="P539" s="2">
        <f t="shared" si="127"/>
        <v>23.700000000000003</v>
      </c>
      <c r="Q539" s="7">
        <f t="shared" si="128"/>
        <v>107.33695652173914</v>
      </c>
      <c r="R539" s="2">
        <v>1.2</v>
      </c>
      <c r="S539" s="2">
        <f t="shared" si="123"/>
        <v>4.45</v>
      </c>
      <c r="T539" s="2"/>
      <c r="U539" s="2"/>
      <c r="Y539" s="8">
        <f t="shared" si="124"/>
        <v>3.8211956521739134</v>
      </c>
    </row>
    <row r="540" spans="1:25" x14ac:dyDescent="0.25">
      <c r="A540" s="34">
        <f t="shared" ref="A540:B555" si="130">A539+1</f>
        <v>532</v>
      </c>
      <c r="B540" s="35" t="e">
        <f t="shared" si="130"/>
        <v>#REF!</v>
      </c>
      <c r="C540" s="42" t="s">
        <v>148</v>
      </c>
      <c r="D540" s="41" t="s">
        <v>43</v>
      </c>
      <c r="E540" s="35">
        <v>2</v>
      </c>
      <c r="F540" s="36">
        <v>0.12139999999999999</v>
      </c>
      <c r="G540" s="36">
        <v>2.3900000000000001E-2</v>
      </c>
      <c r="H540" s="36">
        <v>7.9000000000000001E-2</v>
      </c>
      <c r="I540" s="37">
        <v>1.18E-2</v>
      </c>
      <c r="J540" s="32">
        <f t="shared" si="122"/>
        <v>0.17577500000000001</v>
      </c>
      <c r="K540" s="33">
        <f t="shared" si="125"/>
        <v>2.6366250000000001E-2</v>
      </c>
      <c r="L540" s="33"/>
      <c r="O540" s="2">
        <f t="shared" si="126"/>
        <v>3.291666666666667E-2</v>
      </c>
      <c r="P540" s="2">
        <f t="shared" si="127"/>
        <v>23.700000000000003</v>
      </c>
      <c r="Q540" s="7">
        <f t="shared" si="128"/>
        <v>107.33695652173914</v>
      </c>
      <c r="R540" s="2">
        <v>1.2</v>
      </c>
      <c r="S540" s="2">
        <f t="shared" si="123"/>
        <v>4.45</v>
      </c>
      <c r="T540" s="2"/>
      <c r="U540" s="2"/>
      <c r="Y540" s="8">
        <f t="shared" si="124"/>
        <v>3.8211956521739134</v>
      </c>
    </row>
    <row r="541" spans="1:25" x14ac:dyDescent="0.25">
      <c r="A541" s="34">
        <f t="shared" si="130"/>
        <v>533</v>
      </c>
      <c r="B541" s="35" t="e">
        <f t="shared" si="130"/>
        <v>#REF!</v>
      </c>
      <c r="C541" s="42" t="s">
        <v>148</v>
      </c>
      <c r="D541" s="44" t="s">
        <v>82</v>
      </c>
      <c r="E541" s="43">
        <v>1</v>
      </c>
      <c r="F541" s="36">
        <f>112089/1000000</f>
        <v>0.11208899999999999</v>
      </c>
      <c r="G541" s="36">
        <f t="shared" ref="G541:G590" si="131">F541*0.197</f>
        <v>2.2081533E-2</v>
      </c>
      <c r="H541" s="36">
        <f>78751/1000000</f>
        <v>7.8751000000000002E-2</v>
      </c>
      <c r="I541" s="37">
        <f t="shared" ref="I541:I564" si="132">H541*0.15</f>
        <v>1.1812649999999999E-2</v>
      </c>
      <c r="J541" s="32">
        <f t="shared" si="122"/>
        <v>0.175220975</v>
      </c>
      <c r="K541" s="33">
        <f t="shared" si="125"/>
        <v>2.628314625E-2</v>
      </c>
      <c r="L541" s="33"/>
      <c r="O541" s="2">
        <f t="shared" si="126"/>
        <v>3.2812916666666671E-2</v>
      </c>
      <c r="P541" s="2">
        <f t="shared" si="127"/>
        <v>23.625300000000003</v>
      </c>
      <c r="Q541" s="7">
        <f t="shared" si="128"/>
        <v>106.99864130434784</v>
      </c>
      <c r="R541" s="2">
        <v>1.2</v>
      </c>
      <c r="S541" s="2">
        <f t="shared" si="123"/>
        <v>4.45</v>
      </c>
      <c r="T541" s="2"/>
      <c r="U541" s="2"/>
      <c r="Y541" s="8">
        <f t="shared" si="124"/>
        <v>3.8091516304347826</v>
      </c>
    </row>
    <row r="542" spans="1:25" x14ac:dyDescent="0.25">
      <c r="A542" s="34">
        <f t="shared" si="130"/>
        <v>534</v>
      </c>
      <c r="B542" s="35" t="e">
        <f t="shared" si="130"/>
        <v>#REF!</v>
      </c>
      <c r="C542" s="42" t="s">
        <v>148</v>
      </c>
      <c r="D542" s="41" t="s">
        <v>82</v>
      </c>
      <c r="E542" s="35">
        <v>2</v>
      </c>
      <c r="F542" s="36">
        <f>112089/1000000</f>
        <v>0.11208899999999999</v>
      </c>
      <c r="G542" s="36">
        <f t="shared" si="131"/>
        <v>2.2081533E-2</v>
      </c>
      <c r="H542" s="36">
        <f>78751/1000000</f>
        <v>7.8751000000000002E-2</v>
      </c>
      <c r="I542" s="37">
        <f t="shared" si="132"/>
        <v>1.1812649999999999E-2</v>
      </c>
      <c r="J542" s="32">
        <f t="shared" si="122"/>
        <v>0.175220975</v>
      </c>
      <c r="K542" s="33">
        <f t="shared" si="125"/>
        <v>2.628314625E-2</v>
      </c>
      <c r="L542" s="33"/>
      <c r="O542" s="2">
        <f t="shared" si="126"/>
        <v>3.2812916666666671E-2</v>
      </c>
      <c r="P542" s="2">
        <f t="shared" si="127"/>
        <v>23.625300000000003</v>
      </c>
      <c r="Q542" s="7">
        <f t="shared" si="128"/>
        <v>106.99864130434784</v>
      </c>
      <c r="R542" s="2">
        <v>1.2</v>
      </c>
      <c r="S542" s="2">
        <f t="shared" si="123"/>
        <v>4.45</v>
      </c>
      <c r="T542" s="2"/>
      <c r="U542" s="2"/>
      <c r="Y542" s="8">
        <f t="shared" si="124"/>
        <v>3.8091516304347826</v>
      </c>
    </row>
    <row r="543" spans="1:25" x14ac:dyDescent="0.25">
      <c r="A543" s="34">
        <f t="shared" si="130"/>
        <v>535</v>
      </c>
      <c r="B543" s="35" t="e">
        <f t="shared" si="130"/>
        <v>#REF!</v>
      </c>
      <c r="C543" s="42" t="s">
        <v>148</v>
      </c>
      <c r="D543" s="44" t="s">
        <v>47</v>
      </c>
      <c r="E543" s="43">
        <v>1</v>
      </c>
      <c r="F543" s="36">
        <f>162318/1000000</f>
        <v>0.16231799999999999</v>
      </c>
      <c r="G543" s="36">
        <f t="shared" si="131"/>
        <v>3.1976645999999997E-2</v>
      </c>
      <c r="H543" s="36">
        <f>64769/1000000</f>
        <v>6.4768999999999993E-2</v>
      </c>
      <c r="I543" s="37">
        <f t="shared" si="132"/>
        <v>9.7153499999999993E-3</v>
      </c>
      <c r="J543" s="32">
        <f t="shared" si="122"/>
        <v>0.144111025</v>
      </c>
      <c r="K543" s="33">
        <f t="shared" si="125"/>
        <v>2.1616653749999999E-2</v>
      </c>
      <c r="L543" s="33"/>
      <c r="O543" s="2">
        <f t="shared" si="126"/>
        <v>2.6987083333333332E-2</v>
      </c>
      <c r="P543" s="2">
        <f t="shared" si="127"/>
        <v>19.430699999999998</v>
      </c>
      <c r="Q543" s="7">
        <f t="shared" si="128"/>
        <v>88.001358695652172</v>
      </c>
      <c r="R543" s="2">
        <v>1.2</v>
      </c>
      <c r="S543" s="2">
        <f t="shared" si="123"/>
        <v>4.45</v>
      </c>
      <c r="T543" s="2"/>
      <c r="U543" s="2"/>
      <c r="Y543" s="8">
        <f t="shared" si="124"/>
        <v>3.1328483695652176</v>
      </c>
    </row>
    <row r="544" spans="1:25" x14ac:dyDescent="0.25">
      <c r="A544" s="34">
        <f t="shared" si="130"/>
        <v>536</v>
      </c>
      <c r="B544" s="35" t="e">
        <f t="shared" si="130"/>
        <v>#REF!</v>
      </c>
      <c r="C544" s="42" t="s">
        <v>148</v>
      </c>
      <c r="D544" s="41" t="s">
        <v>47</v>
      </c>
      <c r="E544" s="35">
        <v>2</v>
      </c>
      <c r="F544" s="36">
        <f>162318/1000000</f>
        <v>0.16231799999999999</v>
      </c>
      <c r="G544" s="36">
        <f t="shared" si="131"/>
        <v>3.1976645999999997E-2</v>
      </c>
      <c r="H544" s="36">
        <f>64769/1000000</f>
        <v>6.4768999999999993E-2</v>
      </c>
      <c r="I544" s="37">
        <f t="shared" si="132"/>
        <v>9.7153499999999993E-3</v>
      </c>
      <c r="J544" s="32">
        <f t="shared" si="122"/>
        <v>0.144111025</v>
      </c>
      <c r="K544" s="33">
        <f t="shared" si="125"/>
        <v>2.1616653749999999E-2</v>
      </c>
      <c r="L544" s="33"/>
      <c r="O544" s="2">
        <f t="shared" si="126"/>
        <v>2.6987083333333332E-2</v>
      </c>
      <c r="P544" s="2">
        <f t="shared" si="127"/>
        <v>19.430699999999998</v>
      </c>
      <c r="Q544" s="7">
        <f t="shared" si="128"/>
        <v>88.001358695652172</v>
      </c>
      <c r="R544" s="2">
        <v>1.2</v>
      </c>
      <c r="S544" s="2">
        <f t="shared" si="123"/>
        <v>4.45</v>
      </c>
      <c r="T544" s="2"/>
      <c r="U544" s="2"/>
      <c r="Y544" s="8">
        <f t="shared" si="124"/>
        <v>3.1328483695652176</v>
      </c>
    </row>
    <row r="545" spans="1:25" x14ac:dyDescent="0.25">
      <c r="A545" s="34">
        <f t="shared" si="130"/>
        <v>537</v>
      </c>
      <c r="B545" s="35" t="e">
        <f t="shared" si="130"/>
        <v>#REF!</v>
      </c>
      <c r="C545" s="42" t="s">
        <v>148</v>
      </c>
      <c r="D545" s="44" t="s">
        <v>48</v>
      </c>
      <c r="E545" s="43">
        <v>1</v>
      </c>
      <c r="F545" s="36">
        <f>96309/1000000</f>
        <v>9.6309000000000006E-2</v>
      </c>
      <c r="G545" s="36">
        <f t="shared" si="131"/>
        <v>1.8972873000000001E-2</v>
      </c>
      <c r="H545" s="36">
        <f>46000/1000000</f>
        <v>4.5999999999999999E-2</v>
      </c>
      <c r="I545" s="37">
        <f t="shared" si="132"/>
        <v>6.8999999999999999E-3</v>
      </c>
      <c r="J545" s="32">
        <f t="shared" si="122"/>
        <v>0.10235000000000002</v>
      </c>
      <c r="K545" s="33">
        <f t="shared" si="125"/>
        <v>1.5352500000000003E-2</v>
      </c>
      <c r="L545" s="33"/>
      <c r="O545" s="2">
        <f t="shared" si="126"/>
        <v>1.9166666666666669E-2</v>
      </c>
      <c r="P545" s="2">
        <f t="shared" si="127"/>
        <v>13.800000000000002</v>
      </c>
      <c r="Q545" s="7">
        <f t="shared" si="128"/>
        <v>62.500000000000014</v>
      </c>
      <c r="R545" s="2">
        <v>1.2</v>
      </c>
      <c r="S545" s="2">
        <f t="shared" si="123"/>
        <v>4.45</v>
      </c>
      <c r="T545" s="2"/>
      <c r="U545" s="2"/>
      <c r="Y545" s="8">
        <f t="shared" si="124"/>
        <v>2.2250000000000005</v>
      </c>
    </row>
    <row r="546" spans="1:25" x14ac:dyDescent="0.25">
      <c r="A546" s="34">
        <f t="shared" si="130"/>
        <v>538</v>
      </c>
      <c r="B546" s="35" t="e">
        <f t="shared" si="130"/>
        <v>#REF!</v>
      </c>
      <c r="C546" s="42" t="s">
        <v>148</v>
      </c>
      <c r="D546" s="41" t="s">
        <v>48</v>
      </c>
      <c r="E546" s="35">
        <v>2</v>
      </c>
      <c r="F546" s="36">
        <f>96309/1000000</f>
        <v>9.6309000000000006E-2</v>
      </c>
      <c r="G546" s="36">
        <f t="shared" si="131"/>
        <v>1.8972873000000001E-2</v>
      </c>
      <c r="H546" s="36">
        <f>46000/1000000</f>
        <v>4.5999999999999999E-2</v>
      </c>
      <c r="I546" s="37">
        <f t="shared" si="132"/>
        <v>6.8999999999999999E-3</v>
      </c>
      <c r="J546" s="32">
        <f t="shared" si="122"/>
        <v>0.10235000000000002</v>
      </c>
      <c r="K546" s="33">
        <f t="shared" si="125"/>
        <v>1.5352500000000003E-2</v>
      </c>
      <c r="L546" s="33"/>
      <c r="O546" s="2">
        <f t="shared" si="126"/>
        <v>1.9166666666666669E-2</v>
      </c>
      <c r="P546" s="2">
        <f t="shared" si="127"/>
        <v>13.800000000000002</v>
      </c>
      <c r="Q546" s="7">
        <f t="shared" si="128"/>
        <v>62.500000000000014</v>
      </c>
      <c r="R546" s="2">
        <v>1.2</v>
      </c>
      <c r="S546" s="2">
        <f t="shared" si="123"/>
        <v>4.45</v>
      </c>
      <c r="T546" s="2"/>
      <c r="U546" s="2"/>
      <c r="Y546" s="8">
        <f t="shared" si="124"/>
        <v>2.2250000000000005</v>
      </c>
    </row>
    <row r="547" spans="1:25" x14ac:dyDescent="0.25">
      <c r="A547" s="34">
        <f t="shared" si="130"/>
        <v>539</v>
      </c>
      <c r="B547" s="35" t="e">
        <f t="shared" si="130"/>
        <v>#REF!</v>
      </c>
      <c r="C547" s="42" t="s">
        <v>148</v>
      </c>
      <c r="D547" s="45" t="s">
        <v>50</v>
      </c>
      <c r="E547" s="34"/>
      <c r="F547" s="36">
        <f>210515/1000000</f>
        <v>0.21051500000000001</v>
      </c>
      <c r="G547" s="36">
        <f t="shared" si="131"/>
        <v>4.1471455000000004E-2</v>
      </c>
      <c r="H547" s="36">
        <f>62560/1000000</f>
        <v>6.2560000000000004E-2</v>
      </c>
      <c r="I547" s="37">
        <f t="shared" si="132"/>
        <v>9.384E-3</v>
      </c>
      <c r="J547" s="32">
        <f t="shared" si="122"/>
        <v>0.13919600000000001</v>
      </c>
      <c r="K547" s="33">
        <f t="shared" si="125"/>
        <v>2.0879400000000003E-2</v>
      </c>
      <c r="L547" s="33"/>
      <c r="O547" s="2">
        <f t="shared" si="126"/>
        <v>2.6066666666666669E-2</v>
      </c>
      <c r="P547" s="2">
        <f t="shared" si="127"/>
        <v>18.768000000000001</v>
      </c>
      <c r="Q547" s="7">
        <f t="shared" si="128"/>
        <v>85</v>
      </c>
      <c r="R547" s="2">
        <v>1.2</v>
      </c>
      <c r="S547" s="2">
        <f t="shared" si="123"/>
        <v>4.45</v>
      </c>
      <c r="T547" s="2"/>
      <c r="U547" s="2"/>
      <c r="Y547" s="8">
        <f t="shared" si="124"/>
        <v>3.0260000000000007</v>
      </c>
    </row>
    <row r="548" spans="1:25" x14ac:dyDescent="0.25">
      <c r="A548" s="34">
        <f t="shared" si="130"/>
        <v>540</v>
      </c>
      <c r="B548" s="35" t="e">
        <f t="shared" si="130"/>
        <v>#REF!</v>
      </c>
      <c r="C548" s="42" t="s">
        <v>148</v>
      </c>
      <c r="D548" s="45" t="s">
        <v>51</v>
      </c>
      <c r="E548" s="34"/>
      <c r="F548" s="36">
        <f>210515/1000000</f>
        <v>0.21051500000000001</v>
      </c>
      <c r="G548" s="36">
        <f t="shared" si="131"/>
        <v>4.1471455000000004E-2</v>
      </c>
      <c r="H548" s="36">
        <f>72128/1000000</f>
        <v>7.2127999999999998E-2</v>
      </c>
      <c r="I548" s="37">
        <f t="shared" si="132"/>
        <v>1.0819199999999999E-2</v>
      </c>
      <c r="J548" s="32">
        <f t="shared" si="122"/>
        <v>0.16048480000000001</v>
      </c>
      <c r="K548" s="33">
        <f t="shared" si="125"/>
        <v>2.4072720000000002E-2</v>
      </c>
      <c r="L548" s="33"/>
      <c r="O548" s="2">
        <f t="shared" si="126"/>
        <v>3.0053333333333335E-2</v>
      </c>
      <c r="P548" s="2">
        <f t="shared" si="127"/>
        <v>21.638400000000001</v>
      </c>
      <c r="Q548" s="7">
        <f t="shared" si="128"/>
        <v>98</v>
      </c>
      <c r="R548" s="2">
        <v>1.2</v>
      </c>
      <c r="S548" s="2">
        <f t="shared" si="123"/>
        <v>4.45</v>
      </c>
      <c r="T548" s="2"/>
      <c r="U548" s="2"/>
      <c r="Y548" s="8">
        <f t="shared" si="124"/>
        <v>3.4888000000000003</v>
      </c>
    </row>
    <row r="549" spans="1:25" x14ac:dyDescent="0.25">
      <c r="A549" s="34">
        <f t="shared" si="130"/>
        <v>541</v>
      </c>
      <c r="B549" s="35" t="e">
        <f t="shared" si="130"/>
        <v>#REF!</v>
      </c>
      <c r="C549" s="42" t="s">
        <v>148</v>
      </c>
      <c r="D549" s="44" t="s">
        <v>52</v>
      </c>
      <c r="E549" s="43">
        <v>1</v>
      </c>
      <c r="F549" s="36">
        <f>117310/1000000</f>
        <v>0.11731</v>
      </c>
      <c r="G549" s="36">
        <f t="shared" si="131"/>
        <v>2.311007E-2</v>
      </c>
      <c r="H549" s="36">
        <f>42320/1000000</f>
        <v>4.2320000000000003E-2</v>
      </c>
      <c r="I549" s="37">
        <f t="shared" si="132"/>
        <v>6.3480000000000003E-3</v>
      </c>
      <c r="J549" s="32">
        <f t="shared" si="122"/>
        <v>9.416200000000001E-2</v>
      </c>
      <c r="K549" s="33">
        <f t="shared" si="125"/>
        <v>1.4124300000000001E-2</v>
      </c>
      <c r="L549" s="33"/>
      <c r="O549" s="2">
        <f t="shared" si="126"/>
        <v>1.7633333333333334E-2</v>
      </c>
      <c r="P549" s="2">
        <f t="shared" si="127"/>
        <v>12.696000000000002</v>
      </c>
      <c r="Q549" s="7">
        <f t="shared" si="128"/>
        <v>57.500000000000007</v>
      </c>
      <c r="R549" s="2">
        <v>1.2</v>
      </c>
      <c r="S549" s="2">
        <f t="shared" si="123"/>
        <v>4.45</v>
      </c>
      <c r="T549" s="2"/>
      <c r="U549" s="2"/>
      <c r="Y549" s="8">
        <f t="shared" si="124"/>
        <v>2.0470000000000002</v>
      </c>
    </row>
    <row r="550" spans="1:25" x14ac:dyDescent="0.25">
      <c r="A550" s="34">
        <f t="shared" si="130"/>
        <v>542</v>
      </c>
      <c r="B550" s="35" t="e">
        <f t="shared" si="130"/>
        <v>#REF!</v>
      </c>
      <c r="C550" s="42" t="s">
        <v>148</v>
      </c>
      <c r="D550" s="41" t="s">
        <v>52</v>
      </c>
      <c r="E550" s="35">
        <v>2</v>
      </c>
      <c r="F550" s="36">
        <f>117310/1000000</f>
        <v>0.11731</v>
      </c>
      <c r="G550" s="36">
        <f t="shared" si="131"/>
        <v>2.311007E-2</v>
      </c>
      <c r="H550" s="36">
        <f>42320/1000000</f>
        <v>4.2320000000000003E-2</v>
      </c>
      <c r="I550" s="37">
        <f t="shared" si="132"/>
        <v>6.3480000000000003E-3</v>
      </c>
      <c r="J550" s="32">
        <f t="shared" si="122"/>
        <v>9.416200000000001E-2</v>
      </c>
      <c r="K550" s="33">
        <f t="shared" si="125"/>
        <v>1.4124300000000001E-2</v>
      </c>
      <c r="L550" s="33"/>
      <c r="O550" s="2">
        <f t="shared" si="126"/>
        <v>1.7633333333333334E-2</v>
      </c>
      <c r="P550" s="2">
        <f t="shared" si="127"/>
        <v>12.696000000000002</v>
      </c>
      <c r="Q550" s="7">
        <f t="shared" si="128"/>
        <v>57.500000000000007</v>
      </c>
      <c r="R550" s="2">
        <v>1.2</v>
      </c>
      <c r="S550" s="2">
        <f t="shared" si="123"/>
        <v>4.45</v>
      </c>
      <c r="T550" s="2"/>
      <c r="U550" s="2"/>
      <c r="Y550" s="8">
        <f t="shared" si="124"/>
        <v>2.0470000000000002</v>
      </c>
    </row>
    <row r="551" spans="1:25" x14ac:dyDescent="0.25">
      <c r="A551" s="34">
        <f t="shared" si="130"/>
        <v>543</v>
      </c>
      <c r="B551" s="35" t="e">
        <f t="shared" si="130"/>
        <v>#REF!</v>
      </c>
      <c r="C551" s="42" t="s">
        <v>148</v>
      </c>
      <c r="D551" s="45" t="s">
        <v>149</v>
      </c>
      <c r="E551" s="34"/>
      <c r="F551" s="36">
        <f>226278/1000000</f>
        <v>0.22627800000000001</v>
      </c>
      <c r="G551" s="36">
        <f t="shared" si="131"/>
        <v>4.4576766000000004E-2</v>
      </c>
      <c r="H551" s="36">
        <f>117760/1000000</f>
        <v>0.11776</v>
      </c>
      <c r="I551" s="37">
        <f t="shared" si="132"/>
        <v>1.7663999999999999E-2</v>
      </c>
      <c r="J551" s="32">
        <f t="shared" si="122"/>
        <v>0.21785600000000002</v>
      </c>
      <c r="K551" s="33">
        <f t="shared" si="125"/>
        <v>3.2678400000000003E-2</v>
      </c>
      <c r="L551" s="33"/>
      <c r="O551" s="2">
        <f t="shared" si="126"/>
        <v>4.9066666666666668E-2</v>
      </c>
      <c r="P551" s="2">
        <f t="shared" si="127"/>
        <v>35.328000000000003</v>
      </c>
      <c r="Q551" s="7">
        <f t="shared" si="128"/>
        <v>160.00000000000003</v>
      </c>
      <c r="R551" s="2">
        <v>1.2</v>
      </c>
      <c r="S551" s="2">
        <f t="shared" si="123"/>
        <v>3.7</v>
      </c>
      <c r="T551" s="2"/>
      <c r="U551" s="2"/>
      <c r="Y551" s="8">
        <f t="shared" si="124"/>
        <v>4.7360000000000007</v>
      </c>
    </row>
    <row r="552" spans="1:25" x14ac:dyDescent="0.25">
      <c r="A552" s="34">
        <f t="shared" si="130"/>
        <v>544</v>
      </c>
      <c r="B552" s="35" t="e">
        <f t="shared" si="130"/>
        <v>#REF!</v>
      </c>
      <c r="C552" s="42" t="s">
        <v>148</v>
      </c>
      <c r="D552" s="45" t="s">
        <v>88</v>
      </c>
      <c r="E552" s="34"/>
      <c r="F552" s="36">
        <f>118681/1000000</f>
        <v>0.11868099999999999</v>
      </c>
      <c r="G552" s="36">
        <f t="shared" si="131"/>
        <v>2.3380156999999999E-2</v>
      </c>
      <c r="H552" s="36">
        <f>58144/1000000</f>
        <v>5.8144000000000001E-2</v>
      </c>
      <c r="I552" s="37">
        <f t="shared" si="132"/>
        <v>8.7215999999999995E-3</v>
      </c>
      <c r="J552" s="32">
        <f t="shared" si="122"/>
        <v>0.1293704</v>
      </c>
      <c r="K552" s="33">
        <f t="shared" si="125"/>
        <v>1.9405559999999999E-2</v>
      </c>
      <c r="L552" s="33"/>
      <c r="O552" s="2">
        <f t="shared" si="126"/>
        <v>2.4226666666666667E-2</v>
      </c>
      <c r="P552" s="2">
        <f t="shared" si="127"/>
        <v>17.443199999999997</v>
      </c>
      <c r="Q552" s="7">
        <f t="shared" si="128"/>
        <v>78.999999999999986</v>
      </c>
      <c r="R552" s="2">
        <v>1.2</v>
      </c>
      <c r="S552" s="2">
        <f t="shared" si="123"/>
        <v>4.45</v>
      </c>
      <c r="T552" s="2"/>
      <c r="U552" s="2"/>
      <c r="Y552" s="8">
        <f t="shared" si="124"/>
        <v>2.8124000000000002</v>
      </c>
    </row>
    <row r="553" spans="1:25" x14ac:dyDescent="0.25">
      <c r="A553" s="34">
        <f t="shared" si="130"/>
        <v>545</v>
      </c>
      <c r="B553" s="35" t="e">
        <f>B552+1</f>
        <v>#REF!</v>
      </c>
      <c r="C553" s="42" t="s">
        <v>148</v>
      </c>
      <c r="D553" s="45" t="s">
        <v>54</v>
      </c>
      <c r="E553" s="34"/>
      <c r="F553" s="36">
        <f>168762/1000000</f>
        <v>0.168762</v>
      </c>
      <c r="G553" s="36">
        <f t="shared" si="131"/>
        <v>3.3246114E-2</v>
      </c>
      <c r="H553" s="36">
        <f>61824/1000000</f>
        <v>6.1823999999999997E-2</v>
      </c>
      <c r="I553" s="37">
        <f t="shared" si="132"/>
        <v>9.2735999999999999E-3</v>
      </c>
      <c r="J553" s="32">
        <f t="shared" si="122"/>
        <v>0.13755839999999997</v>
      </c>
      <c r="K553" s="33">
        <f t="shared" si="125"/>
        <v>2.0633759999999994E-2</v>
      </c>
      <c r="L553" s="33"/>
      <c r="O553" s="2">
        <f t="shared" si="126"/>
        <v>2.5759999999999998E-2</v>
      </c>
      <c r="P553" s="2">
        <f t="shared" si="127"/>
        <v>18.547199999999997</v>
      </c>
      <c r="Q553" s="7">
        <f t="shared" si="128"/>
        <v>83.999999999999986</v>
      </c>
      <c r="R553" s="2">
        <v>1.2</v>
      </c>
      <c r="S553" s="2">
        <f t="shared" si="123"/>
        <v>4.45</v>
      </c>
      <c r="T553" s="2"/>
      <c r="U553" s="2"/>
      <c r="Y553" s="8">
        <f t="shared" si="124"/>
        <v>2.9903999999999993</v>
      </c>
    </row>
    <row r="554" spans="1:25" x14ac:dyDescent="0.25">
      <c r="A554" s="34">
        <f t="shared" si="130"/>
        <v>546</v>
      </c>
      <c r="B554" s="35" t="e">
        <f>B553+1</f>
        <v>#REF!</v>
      </c>
      <c r="C554" s="42" t="s">
        <v>148</v>
      </c>
      <c r="D554" s="44" t="s">
        <v>62</v>
      </c>
      <c r="E554" s="43">
        <v>1</v>
      </c>
      <c r="F554" s="36">
        <f>232528/1000000</f>
        <v>0.23252800000000001</v>
      </c>
      <c r="G554" s="36">
        <f t="shared" si="131"/>
        <v>4.5808016000000007E-2</v>
      </c>
      <c r="H554" s="36">
        <f>172200/1000000</f>
        <v>0.17219999999999999</v>
      </c>
      <c r="I554" s="37">
        <f t="shared" si="132"/>
        <v>2.5829999999999999E-2</v>
      </c>
      <c r="J554" s="32">
        <f t="shared" si="122"/>
        <v>0.31857000000000002</v>
      </c>
      <c r="K554" s="33">
        <f t="shared" si="125"/>
        <v>4.7785500000000002E-2</v>
      </c>
      <c r="L554" s="33"/>
      <c r="O554" s="2">
        <f t="shared" si="126"/>
        <v>7.1749999999999994E-2</v>
      </c>
      <c r="P554" s="2">
        <f t="shared" si="127"/>
        <v>51.66</v>
      </c>
      <c r="Q554" s="7">
        <f t="shared" si="128"/>
        <v>233.96739130434781</v>
      </c>
      <c r="R554" s="2">
        <v>1.2</v>
      </c>
      <c r="S554" s="2">
        <f t="shared" si="123"/>
        <v>3.7</v>
      </c>
      <c r="T554" s="2"/>
      <c r="U554" s="2"/>
      <c r="Y554" s="8">
        <f t="shared" si="124"/>
        <v>6.9254347826086962</v>
      </c>
    </row>
    <row r="555" spans="1:25" x14ac:dyDescent="0.25">
      <c r="A555" s="34">
        <f t="shared" si="130"/>
        <v>547</v>
      </c>
      <c r="B555" s="35" t="e">
        <f>B554+1</f>
        <v>#REF!</v>
      </c>
      <c r="C555" s="42" t="s">
        <v>148</v>
      </c>
      <c r="D555" s="41" t="s">
        <v>62</v>
      </c>
      <c r="E555" s="35">
        <v>2</v>
      </c>
      <c r="F555" s="36">
        <f>232528/1000000</f>
        <v>0.23252800000000001</v>
      </c>
      <c r="G555" s="36">
        <f t="shared" si="131"/>
        <v>4.5808016000000007E-2</v>
      </c>
      <c r="H555" s="36">
        <v>0</v>
      </c>
      <c r="I555" s="37">
        <f t="shared" si="132"/>
        <v>0</v>
      </c>
      <c r="J555" s="32">
        <f t="shared" si="122"/>
        <v>0</v>
      </c>
      <c r="K555" s="33">
        <f t="shared" si="125"/>
        <v>0</v>
      </c>
      <c r="L555" s="33"/>
      <c r="O555" s="2">
        <f t="shared" si="126"/>
        <v>0</v>
      </c>
      <c r="P555" s="2">
        <f t="shared" si="127"/>
        <v>0</v>
      </c>
      <c r="Q555" s="7">
        <f t="shared" si="128"/>
        <v>0</v>
      </c>
      <c r="R555" s="2">
        <v>1.2</v>
      </c>
      <c r="S555" s="2">
        <f t="shared" si="123"/>
        <v>4.45</v>
      </c>
      <c r="T555" s="2"/>
      <c r="U555" s="2"/>
      <c r="Y555" s="8">
        <f t="shared" si="124"/>
        <v>0</v>
      </c>
    </row>
    <row r="556" spans="1:25" x14ac:dyDescent="0.25">
      <c r="A556" s="34">
        <f t="shared" ref="A556:B571" si="133">A555+1</f>
        <v>548</v>
      </c>
      <c r="B556" s="35" t="e">
        <f>B555+1</f>
        <v>#REF!</v>
      </c>
      <c r="C556" s="42" t="s">
        <v>148</v>
      </c>
      <c r="D556" s="45" t="s">
        <v>95</v>
      </c>
      <c r="E556" s="34"/>
      <c r="F556" s="36">
        <f>221610/1000000</f>
        <v>0.22161</v>
      </c>
      <c r="G556" s="36">
        <f t="shared" si="131"/>
        <v>4.3657170000000002E-2</v>
      </c>
      <c r="H556" s="36">
        <f>131008/1000000</f>
        <v>0.13100800000000001</v>
      </c>
      <c r="I556" s="37">
        <f t="shared" si="132"/>
        <v>1.9651200000000001E-2</v>
      </c>
      <c r="J556" s="32">
        <f t="shared" si="122"/>
        <v>0.24236480000000005</v>
      </c>
      <c r="K556" s="33">
        <f t="shared" si="125"/>
        <v>3.6354720000000007E-2</v>
      </c>
      <c r="L556" s="33"/>
      <c r="O556" s="2">
        <f t="shared" si="126"/>
        <v>5.4586666666666672E-2</v>
      </c>
      <c r="P556" s="2">
        <f t="shared" si="127"/>
        <v>39.302400000000006</v>
      </c>
      <c r="Q556" s="7">
        <f t="shared" si="128"/>
        <v>178.00000000000003</v>
      </c>
      <c r="R556" s="2">
        <v>1.2</v>
      </c>
      <c r="S556" s="2">
        <f t="shared" si="123"/>
        <v>3.7</v>
      </c>
      <c r="T556" s="2"/>
      <c r="U556" s="2"/>
      <c r="Y556" s="8">
        <f t="shared" si="124"/>
        <v>5.2688000000000015</v>
      </c>
    </row>
    <row r="557" spans="1:25" x14ac:dyDescent="0.25">
      <c r="A557" s="34">
        <f t="shared" si="133"/>
        <v>549</v>
      </c>
      <c r="B557" s="35"/>
      <c r="C557" s="42" t="s">
        <v>148</v>
      </c>
      <c r="D557" s="35">
        <v>21</v>
      </c>
      <c r="E557" s="35"/>
      <c r="F557" s="36">
        <f>197428/1000000</f>
        <v>0.19742799999999999</v>
      </c>
      <c r="G557" s="36">
        <f>F557*0.197</f>
        <v>3.8893315999999997E-2</v>
      </c>
      <c r="H557" s="36">
        <f>80960/1000000</f>
        <v>8.0960000000000004E-2</v>
      </c>
      <c r="I557" s="37">
        <f>H557*0.15</f>
        <v>1.2144E-2</v>
      </c>
      <c r="J557" s="32">
        <f t="shared" si="122"/>
        <v>0.18013600000000002</v>
      </c>
      <c r="K557" s="33">
        <f t="shared" si="125"/>
        <v>2.7020400000000003E-2</v>
      </c>
      <c r="L557" s="33"/>
      <c r="O557" s="2">
        <f t="shared" si="126"/>
        <v>3.3733333333333337E-2</v>
      </c>
      <c r="P557" s="2">
        <f t="shared" si="127"/>
        <v>24.288000000000004</v>
      </c>
      <c r="Q557" s="7">
        <f t="shared" si="128"/>
        <v>110.00000000000001</v>
      </c>
      <c r="R557" s="2">
        <v>1.2</v>
      </c>
      <c r="S557" s="2">
        <f t="shared" si="123"/>
        <v>4.45</v>
      </c>
      <c r="T557" s="2"/>
      <c r="U557" s="2"/>
      <c r="Y557" s="8">
        <f t="shared" si="124"/>
        <v>3.9160000000000004</v>
      </c>
    </row>
    <row r="558" spans="1:25" x14ac:dyDescent="0.25">
      <c r="A558" s="34">
        <f t="shared" si="133"/>
        <v>550</v>
      </c>
      <c r="B558" s="35"/>
      <c r="C558" s="42" t="s">
        <v>148</v>
      </c>
      <c r="D558" s="35">
        <v>22</v>
      </c>
      <c r="E558" s="35"/>
      <c r="F558" s="36">
        <f>190373/1000000</f>
        <v>0.19037299999999999</v>
      </c>
      <c r="G558" s="36">
        <f>F558*0.197</f>
        <v>3.7503480999999998E-2</v>
      </c>
      <c r="H558" s="36">
        <f>62560/1000000</f>
        <v>6.2560000000000004E-2</v>
      </c>
      <c r="I558" s="37">
        <f>H558*0.15</f>
        <v>9.384E-3</v>
      </c>
      <c r="J558" s="32">
        <f t="shared" si="122"/>
        <v>0.13919600000000001</v>
      </c>
      <c r="K558" s="33">
        <f t="shared" si="125"/>
        <v>2.0879400000000003E-2</v>
      </c>
      <c r="L558" s="33"/>
      <c r="O558" s="2">
        <f t="shared" si="126"/>
        <v>2.6066666666666669E-2</v>
      </c>
      <c r="P558" s="2">
        <f t="shared" si="127"/>
        <v>18.768000000000001</v>
      </c>
      <c r="Q558" s="7">
        <f t="shared" si="128"/>
        <v>85</v>
      </c>
      <c r="R558" s="2">
        <v>1.2</v>
      </c>
      <c r="S558" s="2">
        <f t="shared" si="123"/>
        <v>4.45</v>
      </c>
      <c r="T558" s="2"/>
      <c r="U558" s="2"/>
      <c r="Y558" s="8">
        <f t="shared" si="124"/>
        <v>3.0260000000000007</v>
      </c>
    </row>
    <row r="559" spans="1:25" x14ac:dyDescent="0.25">
      <c r="A559" s="34">
        <f t="shared" si="133"/>
        <v>551</v>
      </c>
      <c r="B559" s="35"/>
      <c r="C559" s="42" t="s">
        <v>148</v>
      </c>
      <c r="D559" s="35">
        <v>23</v>
      </c>
      <c r="E559" s="35"/>
      <c r="F559" s="36">
        <f>365243/1000000</f>
        <v>0.36524299999999998</v>
      </c>
      <c r="G559" s="36">
        <f>F559*0.197</f>
        <v>7.1952871000000002E-2</v>
      </c>
      <c r="H559" s="36">
        <f>93472/1000000</f>
        <v>9.3472E-2</v>
      </c>
      <c r="I559" s="37">
        <f>H559*0.15</f>
        <v>1.40208E-2</v>
      </c>
      <c r="J559" s="32">
        <f t="shared" si="122"/>
        <v>0.20797520000000003</v>
      </c>
      <c r="K559" s="33">
        <f t="shared" si="125"/>
        <v>3.1196280000000003E-2</v>
      </c>
      <c r="L559" s="33"/>
      <c r="O559" s="2">
        <f t="shared" si="126"/>
        <v>3.8946666666666671E-2</v>
      </c>
      <c r="P559" s="2">
        <f t="shared" si="127"/>
        <v>28.041600000000003</v>
      </c>
      <c r="Q559" s="7">
        <f t="shared" si="128"/>
        <v>127.00000000000001</v>
      </c>
      <c r="R559" s="2">
        <v>1.2</v>
      </c>
      <c r="S559" s="2">
        <f t="shared" si="123"/>
        <v>4.45</v>
      </c>
      <c r="T559" s="2"/>
      <c r="U559" s="2"/>
      <c r="Y559" s="8">
        <f t="shared" si="124"/>
        <v>4.5212000000000003</v>
      </c>
    </row>
    <row r="560" spans="1:25" x14ac:dyDescent="0.25">
      <c r="A560" s="34">
        <f t="shared" si="133"/>
        <v>552</v>
      </c>
      <c r="B560" s="35" t="e">
        <f>B556+1</f>
        <v>#REF!</v>
      </c>
      <c r="C560" s="42" t="s">
        <v>148</v>
      </c>
      <c r="D560" s="45" t="s">
        <v>110</v>
      </c>
      <c r="E560" s="34"/>
      <c r="F560" s="36">
        <f>449698/1000000</f>
        <v>0.44969799999999999</v>
      </c>
      <c r="G560" s="36">
        <f t="shared" si="131"/>
        <v>8.8590505999999999E-2</v>
      </c>
      <c r="H560" s="36">
        <f>158239/1000000</f>
        <v>0.15823899999999999</v>
      </c>
      <c r="I560" s="37">
        <f t="shared" si="132"/>
        <v>2.3735849999999999E-2</v>
      </c>
      <c r="J560" s="32">
        <f t="shared" si="122"/>
        <v>0.29274214999999998</v>
      </c>
      <c r="K560" s="33">
        <f t="shared" si="125"/>
        <v>4.3911322499999995E-2</v>
      </c>
      <c r="L560" s="33"/>
      <c r="O560" s="2">
        <f t="shared" si="126"/>
        <v>6.5932916666666661E-2</v>
      </c>
      <c r="P560" s="2">
        <f t="shared" si="127"/>
        <v>47.471699999999991</v>
      </c>
      <c r="Q560" s="7">
        <f t="shared" si="128"/>
        <v>214.99864130434779</v>
      </c>
      <c r="R560" s="2">
        <v>1.2</v>
      </c>
      <c r="S560" s="2">
        <f t="shared" si="123"/>
        <v>3.7</v>
      </c>
      <c r="T560" s="2"/>
      <c r="U560" s="2"/>
      <c r="Y560" s="8">
        <f t="shared" si="124"/>
        <v>6.3639597826086955</v>
      </c>
    </row>
    <row r="561" spans="1:25" x14ac:dyDescent="0.25">
      <c r="A561" s="34">
        <f t="shared" si="133"/>
        <v>553</v>
      </c>
      <c r="B561" s="35" t="e">
        <f t="shared" si="133"/>
        <v>#REF!</v>
      </c>
      <c r="C561" s="40" t="s">
        <v>150</v>
      </c>
      <c r="D561" s="35">
        <v>1</v>
      </c>
      <c r="E561" s="35"/>
      <c r="F561" s="36">
        <f>222895/1000000</f>
        <v>0.22289500000000001</v>
      </c>
      <c r="G561" s="36">
        <f t="shared" si="131"/>
        <v>4.3910315000000005E-2</v>
      </c>
      <c r="H561" s="36">
        <f>78752/1000000</f>
        <v>7.8752000000000003E-2</v>
      </c>
      <c r="I561" s="37">
        <f t="shared" si="132"/>
        <v>1.18128E-2</v>
      </c>
      <c r="J561" s="32">
        <f t="shared" si="122"/>
        <v>0.17522320000000002</v>
      </c>
      <c r="K561" s="33">
        <f t="shared" si="125"/>
        <v>2.6283480000000001E-2</v>
      </c>
      <c r="L561" s="33"/>
      <c r="O561" s="2">
        <f t="shared" si="126"/>
        <v>3.2813333333333333E-2</v>
      </c>
      <c r="P561" s="2">
        <f t="shared" si="127"/>
        <v>23.625599999999999</v>
      </c>
      <c r="Q561" s="7">
        <f t="shared" si="128"/>
        <v>107</v>
      </c>
      <c r="R561" s="2">
        <v>1.2</v>
      </c>
      <c r="S561" s="2">
        <f t="shared" si="123"/>
        <v>4.45</v>
      </c>
      <c r="T561" s="2"/>
      <c r="U561" s="2"/>
      <c r="Y561" s="8">
        <f t="shared" si="124"/>
        <v>3.8092000000000006</v>
      </c>
    </row>
    <row r="562" spans="1:25" x14ac:dyDescent="0.25">
      <c r="A562" s="34">
        <f t="shared" si="133"/>
        <v>554</v>
      </c>
      <c r="B562" s="35" t="e">
        <f t="shared" si="133"/>
        <v>#REF!</v>
      </c>
      <c r="C562" s="40" t="s">
        <v>150</v>
      </c>
      <c r="D562" s="35">
        <v>2</v>
      </c>
      <c r="E562" s="35"/>
      <c r="F562" s="36">
        <f>220467/1000000</f>
        <v>0.220467</v>
      </c>
      <c r="G562" s="36">
        <f t="shared" si="131"/>
        <v>4.3431998999999999E-2</v>
      </c>
      <c r="H562" s="36">
        <f>92736/1000000</f>
        <v>9.2735999999999999E-2</v>
      </c>
      <c r="I562" s="37">
        <f t="shared" si="132"/>
        <v>1.39104E-2</v>
      </c>
      <c r="J562" s="32">
        <f t="shared" si="122"/>
        <v>0.20633760000000001</v>
      </c>
      <c r="K562" s="33">
        <f t="shared" si="125"/>
        <v>3.0950640000000001E-2</v>
      </c>
      <c r="L562" s="33"/>
      <c r="O562" s="2">
        <f t="shared" si="126"/>
        <v>3.8640000000000001E-2</v>
      </c>
      <c r="P562" s="2">
        <f t="shared" si="127"/>
        <v>27.820799999999998</v>
      </c>
      <c r="Q562" s="7">
        <f t="shared" si="128"/>
        <v>126</v>
      </c>
      <c r="R562" s="2">
        <v>1.2</v>
      </c>
      <c r="S562" s="2">
        <f t="shared" si="123"/>
        <v>4.45</v>
      </c>
      <c r="T562" s="2"/>
      <c r="U562" s="2"/>
      <c r="Y562" s="8">
        <f t="shared" si="124"/>
        <v>4.4855999999999998</v>
      </c>
    </row>
    <row r="563" spans="1:25" x14ac:dyDescent="0.25">
      <c r="A563" s="34">
        <f t="shared" si="133"/>
        <v>555</v>
      </c>
      <c r="B563" s="35" t="e">
        <f t="shared" si="133"/>
        <v>#REF!</v>
      </c>
      <c r="C563" s="40" t="s">
        <v>150</v>
      </c>
      <c r="D563" s="35">
        <v>3</v>
      </c>
      <c r="E563" s="35"/>
      <c r="F563" s="36">
        <f>222472/1000000</f>
        <v>0.222472</v>
      </c>
      <c r="G563" s="36">
        <f t="shared" si="131"/>
        <v>4.3826983999999999E-2</v>
      </c>
      <c r="H563" s="36">
        <f>90526/1000000</f>
        <v>9.0525999999999995E-2</v>
      </c>
      <c r="I563" s="37">
        <f t="shared" si="132"/>
        <v>1.35789E-2</v>
      </c>
      <c r="J563" s="32">
        <f t="shared" si="122"/>
        <v>0.20142035</v>
      </c>
      <c r="K563" s="33">
        <f t="shared" si="125"/>
        <v>3.0213052499999997E-2</v>
      </c>
      <c r="L563" s="33"/>
      <c r="O563" s="2">
        <f t="shared" si="126"/>
        <v>3.7719166666666665E-2</v>
      </c>
      <c r="P563" s="2">
        <f t="shared" si="127"/>
        <v>27.157799999999998</v>
      </c>
      <c r="Q563" s="7">
        <f t="shared" si="128"/>
        <v>122.99728260869564</v>
      </c>
      <c r="R563" s="2">
        <v>1.2</v>
      </c>
      <c r="S563" s="2">
        <f t="shared" si="123"/>
        <v>4.45</v>
      </c>
      <c r="T563" s="2"/>
      <c r="U563" s="2"/>
      <c r="Y563" s="8">
        <f t="shared" si="124"/>
        <v>4.3787032608695649</v>
      </c>
    </row>
    <row r="564" spans="1:25" x14ac:dyDescent="0.25">
      <c r="A564" s="34">
        <f t="shared" si="133"/>
        <v>556</v>
      </c>
      <c r="B564" s="35" t="e">
        <f t="shared" si="133"/>
        <v>#REF!</v>
      </c>
      <c r="C564" s="40" t="s">
        <v>150</v>
      </c>
      <c r="D564" s="35">
        <v>4</v>
      </c>
      <c r="E564" s="43">
        <v>1</v>
      </c>
      <c r="F564" s="36">
        <f>321594/1000000/2</f>
        <v>0.160797</v>
      </c>
      <c r="G564" s="36">
        <f t="shared" si="131"/>
        <v>3.1677008999999999E-2</v>
      </c>
      <c r="H564" s="36">
        <f>105984/1000000</f>
        <v>0.10598399999999999</v>
      </c>
      <c r="I564" s="37">
        <f t="shared" si="132"/>
        <v>1.5897599999999998E-2</v>
      </c>
      <c r="J564" s="32">
        <f t="shared" si="122"/>
        <v>0.23581440000000001</v>
      </c>
      <c r="K564" s="33">
        <f t="shared" si="125"/>
        <v>3.537216E-2</v>
      </c>
      <c r="L564" s="33"/>
      <c r="O564" s="2">
        <f t="shared" si="126"/>
        <v>4.4159999999999998E-2</v>
      </c>
      <c r="P564" s="2">
        <f t="shared" si="127"/>
        <v>31.795199999999998</v>
      </c>
      <c r="Q564" s="7">
        <f t="shared" si="128"/>
        <v>144</v>
      </c>
      <c r="R564" s="2">
        <v>1.2</v>
      </c>
      <c r="S564" s="2">
        <f t="shared" si="123"/>
        <v>4.45</v>
      </c>
      <c r="T564" s="2"/>
      <c r="U564" s="2"/>
      <c r="Y564" s="8">
        <f t="shared" si="124"/>
        <v>5.1264000000000003</v>
      </c>
    </row>
    <row r="565" spans="1:25" x14ac:dyDescent="0.25">
      <c r="A565" s="34">
        <f t="shared" si="133"/>
        <v>557</v>
      </c>
      <c r="B565" s="35" t="e">
        <f t="shared" si="133"/>
        <v>#REF!</v>
      </c>
      <c r="C565" s="40" t="s">
        <v>150</v>
      </c>
      <c r="D565" s="35">
        <v>4</v>
      </c>
      <c r="E565" s="35">
        <v>2</v>
      </c>
      <c r="F565" s="36">
        <f>321594/1000000/2</f>
        <v>0.160797</v>
      </c>
      <c r="G565" s="36">
        <f t="shared" si="131"/>
        <v>3.1677008999999999E-2</v>
      </c>
      <c r="H565" s="36"/>
      <c r="I565" s="37"/>
      <c r="J565" s="32">
        <f t="shared" si="122"/>
        <v>0</v>
      </c>
      <c r="K565" s="33">
        <f t="shared" si="125"/>
        <v>0</v>
      </c>
      <c r="L565" s="33"/>
      <c r="O565" s="2">
        <f t="shared" si="126"/>
        <v>0</v>
      </c>
      <c r="P565" s="2">
        <f t="shared" si="127"/>
        <v>0</v>
      </c>
      <c r="Q565" s="7">
        <f t="shared" si="128"/>
        <v>0</v>
      </c>
      <c r="R565" s="2">
        <v>1.2</v>
      </c>
      <c r="S565" s="2">
        <f t="shared" si="123"/>
        <v>4.45</v>
      </c>
      <c r="T565" s="2"/>
      <c r="U565" s="2"/>
      <c r="Y565" s="8">
        <f t="shared" si="124"/>
        <v>0</v>
      </c>
    </row>
    <row r="566" spans="1:25" x14ac:dyDescent="0.25">
      <c r="A566" s="34">
        <f t="shared" si="133"/>
        <v>558</v>
      </c>
      <c r="B566" s="35" t="e">
        <f t="shared" si="133"/>
        <v>#REF!</v>
      </c>
      <c r="C566" s="40" t="s">
        <v>150</v>
      </c>
      <c r="D566" s="35">
        <v>5</v>
      </c>
      <c r="E566" s="35"/>
      <c r="F566" s="36">
        <f>191104/1000000</f>
        <v>0.191104</v>
      </c>
      <c r="G566" s="36">
        <f t="shared" si="131"/>
        <v>3.7647488E-2</v>
      </c>
      <c r="H566" s="36">
        <f>83167/1000000</f>
        <v>8.3167000000000005E-2</v>
      </c>
      <c r="I566" s="37">
        <f>H566*0.15</f>
        <v>1.247505E-2</v>
      </c>
      <c r="J566" s="32">
        <f t="shared" si="122"/>
        <v>0.18504657500000002</v>
      </c>
      <c r="K566" s="33">
        <f t="shared" si="125"/>
        <v>2.7756986250000001E-2</v>
      </c>
      <c r="L566" s="33"/>
      <c r="O566" s="2">
        <f t="shared" si="126"/>
        <v>3.4652916666666672E-2</v>
      </c>
      <c r="P566" s="2">
        <f t="shared" si="127"/>
        <v>24.950100000000003</v>
      </c>
      <c r="Q566" s="7">
        <f t="shared" si="128"/>
        <v>112.99864130434784</v>
      </c>
      <c r="R566" s="2">
        <v>1.2</v>
      </c>
      <c r="S566" s="2">
        <f t="shared" si="123"/>
        <v>4.45</v>
      </c>
      <c r="T566" s="2"/>
      <c r="U566" s="2"/>
      <c r="Y566" s="8">
        <f t="shared" si="124"/>
        <v>4.022751630434783</v>
      </c>
    </row>
    <row r="567" spans="1:25" x14ac:dyDescent="0.25">
      <c r="A567" s="34">
        <f t="shared" si="133"/>
        <v>559</v>
      </c>
      <c r="B567" s="35" t="e">
        <f t="shared" si="133"/>
        <v>#REF!</v>
      </c>
      <c r="C567" s="40" t="s">
        <v>150</v>
      </c>
      <c r="D567" s="35">
        <v>6</v>
      </c>
      <c r="E567" s="35"/>
      <c r="F567" s="36">
        <f>215745/1000000</f>
        <v>0.21574499999999999</v>
      </c>
      <c r="G567" s="36">
        <f t="shared" si="131"/>
        <v>4.2501764999999997E-2</v>
      </c>
      <c r="H567" s="36">
        <f>77599/1000000</f>
        <v>7.7599000000000001E-2</v>
      </c>
      <c r="I567" s="37">
        <f>H567*0.15</f>
        <v>1.163985E-2</v>
      </c>
      <c r="J567" s="32">
        <f t="shared" si="122"/>
        <v>0.17265777500000001</v>
      </c>
      <c r="K567" s="33">
        <f t="shared" si="125"/>
        <v>2.5898666250000001E-2</v>
      </c>
      <c r="L567" s="33"/>
      <c r="O567" s="2">
        <f t="shared" si="126"/>
        <v>3.233291666666667E-2</v>
      </c>
      <c r="P567" s="2">
        <f t="shared" si="127"/>
        <v>23.279700000000002</v>
      </c>
      <c r="Q567" s="7">
        <f t="shared" si="128"/>
        <v>105.43342391304348</v>
      </c>
      <c r="R567" s="2">
        <v>1.2</v>
      </c>
      <c r="S567" s="2">
        <f t="shared" si="123"/>
        <v>4.45</v>
      </c>
      <c r="T567" s="2"/>
      <c r="U567" s="2"/>
      <c r="Y567" s="8">
        <f t="shared" si="124"/>
        <v>3.7534298913043478</v>
      </c>
    </row>
    <row r="568" spans="1:25" x14ac:dyDescent="0.25">
      <c r="A568" s="34">
        <f t="shared" si="133"/>
        <v>560</v>
      </c>
      <c r="B568" s="35" t="e">
        <f t="shared" si="133"/>
        <v>#REF!</v>
      </c>
      <c r="C568" s="40" t="s">
        <v>150</v>
      </c>
      <c r="D568" s="35">
        <v>7</v>
      </c>
      <c r="E568" s="43">
        <v>1</v>
      </c>
      <c r="F568" s="36">
        <f>311349/1000000/2</f>
        <v>0.15567449999999999</v>
      </c>
      <c r="G568" s="36">
        <f t="shared" si="131"/>
        <v>3.06678765E-2</v>
      </c>
      <c r="H568" s="36">
        <f>124382/1000000</f>
        <v>0.12438200000000001</v>
      </c>
      <c r="I568" s="37">
        <f>H568*0.15</f>
        <v>1.8657300000000002E-2</v>
      </c>
      <c r="J568" s="32">
        <f t="shared" si="122"/>
        <v>0.2301067</v>
      </c>
      <c r="K568" s="33">
        <f t="shared" si="125"/>
        <v>3.4516004999999995E-2</v>
      </c>
      <c r="L568" s="33"/>
      <c r="O568" s="2">
        <f t="shared" si="126"/>
        <v>5.1825833333333335E-2</v>
      </c>
      <c r="P568" s="2">
        <f t="shared" si="127"/>
        <v>37.314599999999999</v>
      </c>
      <c r="Q568" s="7">
        <f t="shared" si="128"/>
        <v>168.99728260869566</v>
      </c>
      <c r="R568" s="2">
        <v>1.2</v>
      </c>
      <c r="S568" s="2">
        <f t="shared" si="123"/>
        <v>3.7</v>
      </c>
      <c r="T568" s="2"/>
      <c r="U568" s="2"/>
      <c r="Y568" s="8">
        <f t="shared" si="124"/>
        <v>5.0023195652173911</v>
      </c>
    </row>
    <row r="569" spans="1:25" x14ac:dyDescent="0.25">
      <c r="A569" s="34">
        <f t="shared" si="133"/>
        <v>561</v>
      </c>
      <c r="B569" s="35" t="e">
        <f t="shared" si="133"/>
        <v>#REF!</v>
      </c>
      <c r="C569" s="40" t="s">
        <v>150</v>
      </c>
      <c r="D569" s="35">
        <v>7</v>
      </c>
      <c r="E569" s="35">
        <v>2</v>
      </c>
      <c r="F569" s="36">
        <f>311349/1000000/2</f>
        <v>0.15567449999999999</v>
      </c>
      <c r="G569" s="36">
        <f t="shared" si="131"/>
        <v>3.06678765E-2</v>
      </c>
      <c r="H569" s="36"/>
      <c r="I569" s="37"/>
      <c r="J569" s="32">
        <f t="shared" si="122"/>
        <v>0</v>
      </c>
      <c r="K569" s="33">
        <f t="shared" si="125"/>
        <v>0</v>
      </c>
      <c r="L569" s="33"/>
      <c r="O569" s="2">
        <f t="shared" si="126"/>
        <v>0</v>
      </c>
      <c r="P569" s="2">
        <f t="shared" si="127"/>
        <v>0</v>
      </c>
      <c r="Q569" s="7">
        <f t="shared" si="128"/>
        <v>0</v>
      </c>
      <c r="R569" s="2">
        <v>1.2</v>
      </c>
      <c r="S569" s="2">
        <f t="shared" si="123"/>
        <v>4.45</v>
      </c>
      <c r="T569" s="2"/>
      <c r="U569" s="2"/>
      <c r="Y569" s="8">
        <f t="shared" si="124"/>
        <v>0</v>
      </c>
    </row>
    <row r="570" spans="1:25" x14ac:dyDescent="0.25">
      <c r="A570" s="34">
        <f t="shared" si="133"/>
        <v>562</v>
      </c>
      <c r="B570" s="35" t="e">
        <f t="shared" si="133"/>
        <v>#REF!</v>
      </c>
      <c r="C570" s="42" t="s">
        <v>151</v>
      </c>
      <c r="D570" s="43">
        <v>1</v>
      </c>
      <c r="E570" s="43"/>
      <c r="F570" s="36">
        <f>169480/1000000</f>
        <v>0.16947999999999999</v>
      </c>
      <c r="G570" s="36">
        <f t="shared" si="131"/>
        <v>3.3387559999999997E-2</v>
      </c>
      <c r="H570" s="36">
        <f>62560/1000000</f>
        <v>6.2560000000000004E-2</v>
      </c>
      <c r="I570" s="37">
        <f t="shared" ref="I570:I590" si="134">H570*0.15</f>
        <v>9.384E-3</v>
      </c>
      <c r="J570" s="32">
        <f t="shared" si="122"/>
        <v>0.13919600000000001</v>
      </c>
      <c r="K570" s="33">
        <f t="shared" si="125"/>
        <v>2.0879400000000003E-2</v>
      </c>
      <c r="L570" s="33"/>
      <c r="O570" s="2">
        <f t="shared" si="126"/>
        <v>2.6066666666666669E-2</v>
      </c>
      <c r="P570" s="2">
        <f t="shared" si="127"/>
        <v>18.768000000000001</v>
      </c>
      <c r="Q570" s="7">
        <f t="shared" si="128"/>
        <v>85</v>
      </c>
      <c r="R570" s="2">
        <v>1.2</v>
      </c>
      <c r="S570" s="2">
        <f t="shared" si="123"/>
        <v>4.45</v>
      </c>
      <c r="T570" s="2"/>
      <c r="U570" s="2"/>
      <c r="Y570" s="8">
        <f t="shared" si="124"/>
        <v>3.0260000000000007</v>
      </c>
    </row>
    <row r="571" spans="1:25" x14ac:dyDescent="0.25">
      <c r="A571" s="34">
        <f t="shared" si="133"/>
        <v>563</v>
      </c>
      <c r="B571" s="35" t="e">
        <f t="shared" si="133"/>
        <v>#REF!</v>
      </c>
      <c r="C571" s="42" t="s">
        <v>151</v>
      </c>
      <c r="D571" s="43">
        <v>2</v>
      </c>
      <c r="E571" s="43"/>
      <c r="F571" s="36">
        <f>173947/1000000</f>
        <v>0.17394699999999999</v>
      </c>
      <c r="G571" s="36">
        <f t="shared" si="131"/>
        <v>3.4267559000000003E-2</v>
      </c>
      <c r="H571" s="36">
        <f>69920/1000000</f>
        <v>6.9919999999999996E-2</v>
      </c>
      <c r="I571" s="37">
        <f t="shared" si="134"/>
        <v>1.0487999999999999E-2</v>
      </c>
      <c r="J571" s="32">
        <f t="shared" si="122"/>
        <v>0.15557199999999999</v>
      </c>
      <c r="K571" s="33">
        <f t="shared" si="125"/>
        <v>2.3335799999999997E-2</v>
      </c>
      <c r="L571" s="33"/>
      <c r="O571" s="2">
        <f t="shared" si="126"/>
        <v>2.9133333333333334E-2</v>
      </c>
      <c r="P571" s="2">
        <f t="shared" si="127"/>
        <v>20.976000000000003</v>
      </c>
      <c r="Q571" s="7">
        <f t="shared" si="128"/>
        <v>95.000000000000014</v>
      </c>
      <c r="R571" s="2">
        <v>1.2</v>
      </c>
      <c r="S571" s="2">
        <f t="shared" si="123"/>
        <v>4.45</v>
      </c>
      <c r="T571" s="2"/>
      <c r="U571" s="2"/>
      <c r="Y571" s="8">
        <f t="shared" si="124"/>
        <v>3.3819999999999997</v>
      </c>
    </row>
    <row r="572" spans="1:25" x14ac:dyDescent="0.25">
      <c r="A572" s="34">
        <f t="shared" ref="A572:B587" si="135">A571+1</f>
        <v>564</v>
      </c>
      <c r="B572" s="35" t="e">
        <f t="shared" si="135"/>
        <v>#REF!</v>
      </c>
      <c r="C572" s="42" t="s">
        <v>151</v>
      </c>
      <c r="D572" s="43">
        <v>3</v>
      </c>
      <c r="E572" s="43"/>
      <c r="F572" s="36">
        <f>166531/1000000</f>
        <v>0.16653100000000001</v>
      </c>
      <c r="G572" s="36">
        <f t="shared" si="131"/>
        <v>3.2806607000000002E-2</v>
      </c>
      <c r="H572" s="36">
        <f>63298/1000000</f>
        <v>6.3297999999999993E-2</v>
      </c>
      <c r="I572" s="37">
        <f t="shared" si="134"/>
        <v>9.4946999999999983E-3</v>
      </c>
      <c r="J572" s="32">
        <f t="shared" si="122"/>
        <v>0.14083804999999999</v>
      </c>
      <c r="K572" s="33">
        <f t="shared" si="125"/>
        <v>2.1125707499999997E-2</v>
      </c>
      <c r="L572" s="33"/>
      <c r="O572" s="2">
        <f t="shared" si="126"/>
        <v>2.6374166666666664E-2</v>
      </c>
      <c r="P572" s="2">
        <f t="shared" si="127"/>
        <v>18.989399999999996</v>
      </c>
      <c r="Q572" s="7">
        <f t="shared" si="128"/>
        <v>86.00271739130433</v>
      </c>
      <c r="R572" s="2">
        <v>1.2</v>
      </c>
      <c r="S572" s="2">
        <f t="shared" si="123"/>
        <v>4.45</v>
      </c>
      <c r="T572" s="2"/>
      <c r="U572" s="2"/>
      <c r="Y572" s="8">
        <f t="shared" si="124"/>
        <v>3.0616967391304346</v>
      </c>
    </row>
    <row r="573" spans="1:25" x14ac:dyDescent="0.25">
      <c r="A573" s="34">
        <f t="shared" si="135"/>
        <v>565</v>
      </c>
      <c r="B573" s="35" t="e">
        <f t="shared" si="135"/>
        <v>#REF!</v>
      </c>
      <c r="C573" s="42" t="s">
        <v>151</v>
      </c>
      <c r="D573" s="43">
        <v>4</v>
      </c>
      <c r="E573" s="43"/>
      <c r="F573" s="36">
        <f>166429/1000000</f>
        <v>0.16642899999999999</v>
      </c>
      <c r="G573" s="36">
        <f t="shared" si="131"/>
        <v>3.2786513000000003E-2</v>
      </c>
      <c r="H573" s="36">
        <f>62560/1000000</f>
        <v>6.2560000000000004E-2</v>
      </c>
      <c r="I573" s="37">
        <f t="shared" si="134"/>
        <v>9.384E-3</v>
      </c>
      <c r="J573" s="32">
        <f t="shared" si="122"/>
        <v>0.13919600000000001</v>
      </c>
      <c r="K573" s="33">
        <f t="shared" si="125"/>
        <v>2.0879400000000003E-2</v>
      </c>
      <c r="L573" s="33"/>
      <c r="O573" s="2">
        <f t="shared" si="126"/>
        <v>2.6066666666666669E-2</v>
      </c>
      <c r="P573" s="2">
        <f t="shared" si="127"/>
        <v>18.768000000000001</v>
      </c>
      <c r="Q573" s="7">
        <f t="shared" si="128"/>
        <v>85</v>
      </c>
      <c r="R573" s="2">
        <v>1.2</v>
      </c>
      <c r="S573" s="2">
        <f t="shared" si="123"/>
        <v>4.45</v>
      </c>
      <c r="T573" s="2"/>
      <c r="U573" s="2"/>
      <c r="Y573" s="8">
        <f t="shared" si="124"/>
        <v>3.0260000000000007</v>
      </c>
    </row>
    <row r="574" spans="1:25" x14ac:dyDescent="0.25">
      <c r="A574" s="34">
        <f t="shared" si="135"/>
        <v>566</v>
      </c>
      <c r="B574" s="35" t="e">
        <f t="shared" si="135"/>
        <v>#REF!</v>
      </c>
      <c r="C574" s="42" t="s">
        <v>151</v>
      </c>
      <c r="D574" s="43">
        <v>5</v>
      </c>
      <c r="E574" s="43"/>
      <c r="F574" s="36">
        <f>166273/1000000</f>
        <v>0.166273</v>
      </c>
      <c r="G574" s="36">
        <f t="shared" si="131"/>
        <v>3.2755781000000005E-2</v>
      </c>
      <c r="H574" s="36">
        <f>70656/1000000</f>
        <v>7.0655999999999997E-2</v>
      </c>
      <c r="I574" s="37">
        <f t="shared" si="134"/>
        <v>1.0598399999999999E-2</v>
      </c>
      <c r="J574" s="32">
        <f t="shared" si="122"/>
        <v>0.1572096</v>
      </c>
      <c r="K574" s="33">
        <f t="shared" si="125"/>
        <v>2.3581439999999999E-2</v>
      </c>
      <c r="L574" s="33"/>
      <c r="O574" s="2">
        <f t="shared" si="126"/>
        <v>2.9440000000000001E-2</v>
      </c>
      <c r="P574" s="2">
        <f t="shared" si="127"/>
        <v>21.196800000000003</v>
      </c>
      <c r="Q574" s="7">
        <f t="shared" si="128"/>
        <v>96.000000000000014</v>
      </c>
      <c r="R574" s="2">
        <v>1.2</v>
      </c>
      <c r="S574" s="2">
        <f t="shared" si="123"/>
        <v>4.45</v>
      </c>
      <c r="T574" s="2"/>
      <c r="U574" s="2"/>
      <c r="Y574" s="8">
        <f t="shared" si="124"/>
        <v>3.4176000000000002</v>
      </c>
    </row>
    <row r="575" spans="1:25" x14ac:dyDescent="0.25">
      <c r="A575" s="34">
        <f t="shared" si="135"/>
        <v>567</v>
      </c>
      <c r="B575" s="35" t="e">
        <f t="shared" si="135"/>
        <v>#REF!</v>
      </c>
      <c r="C575" s="42" t="s">
        <v>151</v>
      </c>
      <c r="D575" s="43">
        <v>6</v>
      </c>
      <c r="E575" s="43"/>
      <c r="F575" s="36">
        <f>159107/1000000</f>
        <v>0.159107</v>
      </c>
      <c r="G575" s="36">
        <f t="shared" si="131"/>
        <v>3.1344079000000004E-2</v>
      </c>
      <c r="H575" s="36">
        <f>60352/1000000</f>
        <v>6.0352000000000003E-2</v>
      </c>
      <c r="I575" s="37">
        <f t="shared" si="134"/>
        <v>9.0527999999999997E-3</v>
      </c>
      <c r="J575" s="32">
        <f t="shared" si="122"/>
        <v>0.13428320000000002</v>
      </c>
      <c r="K575" s="33">
        <f t="shared" si="125"/>
        <v>2.0142480000000001E-2</v>
      </c>
      <c r="L575" s="33"/>
      <c r="O575" s="2">
        <f t="shared" si="126"/>
        <v>2.5146666666666668E-2</v>
      </c>
      <c r="P575" s="2">
        <f t="shared" si="127"/>
        <v>18.105600000000003</v>
      </c>
      <c r="Q575" s="7">
        <f t="shared" si="128"/>
        <v>82.000000000000014</v>
      </c>
      <c r="R575" s="2">
        <v>1.2</v>
      </c>
      <c r="S575" s="2">
        <f t="shared" si="123"/>
        <v>4.45</v>
      </c>
      <c r="T575" s="2"/>
      <c r="U575" s="2"/>
      <c r="Y575" s="8">
        <f t="shared" si="124"/>
        <v>2.9192000000000005</v>
      </c>
    </row>
    <row r="576" spans="1:25" x14ac:dyDescent="0.25">
      <c r="A576" s="34">
        <f t="shared" si="135"/>
        <v>568</v>
      </c>
      <c r="B576" s="35" t="e">
        <f t="shared" si="135"/>
        <v>#REF!</v>
      </c>
      <c r="C576" s="42" t="s">
        <v>151</v>
      </c>
      <c r="D576" s="43">
        <v>7</v>
      </c>
      <c r="E576" s="43"/>
      <c r="F576" s="36">
        <f>163979/1000000</f>
        <v>0.16397900000000001</v>
      </c>
      <c r="G576" s="36">
        <f t="shared" si="131"/>
        <v>3.2303863000000002E-2</v>
      </c>
      <c r="H576" s="36">
        <f>97888/1000000</f>
        <v>9.7888000000000003E-2</v>
      </c>
      <c r="I576" s="37">
        <f t="shared" si="134"/>
        <v>1.46832E-2</v>
      </c>
      <c r="J576" s="32">
        <f t="shared" si="122"/>
        <v>0.21780080000000004</v>
      </c>
      <c r="K576" s="33">
        <f t="shared" si="125"/>
        <v>3.2670120000000004E-2</v>
      </c>
      <c r="L576" s="33"/>
      <c r="O576" s="2">
        <f t="shared" si="126"/>
        <v>4.0786666666666672E-2</v>
      </c>
      <c r="P576" s="2">
        <f t="shared" si="127"/>
        <v>29.366400000000006</v>
      </c>
      <c r="Q576" s="7">
        <f t="shared" si="128"/>
        <v>133.00000000000003</v>
      </c>
      <c r="R576" s="2">
        <v>1.2</v>
      </c>
      <c r="S576" s="2">
        <f t="shared" si="123"/>
        <v>4.45</v>
      </c>
      <c r="T576" s="2"/>
      <c r="U576" s="2"/>
      <c r="Y576" s="8">
        <f t="shared" si="124"/>
        <v>4.7348000000000008</v>
      </c>
    </row>
    <row r="577" spans="1:25" x14ac:dyDescent="0.25">
      <c r="A577" s="34">
        <f t="shared" si="135"/>
        <v>569</v>
      </c>
      <c r="B577" s="35" t="e">
        <f t="shared" si="135"/>
        <v>#REF!</v>
      </c>
      <c r="C577" s="42" t="s">
        <v>151</v>
      </c>
      <c r="D577" s="43">
        <v>8</v>
      </c>
      <c r="E577" s="43"/>
      <c r="F577" s="36">
        <f>168558/1000000</f>
        <v>0.16855800000000001</v>
      </c>
      <c r="G577" s="36">
        <f t="shared" si="131"/>
        <v>3.3205926000000004E-2</v>
      </c>
      <c r="H577" s="36">
        <f>71392/1000000</f>
        <v>7.1391999999999997E-2</v>
      </c>
      <c r="I577" s="37">
        <f t="shared" si="134"/>
        <v>1.0708799999999999E-2</v>
      </c>
      <c r="J577" s="32">
        <f t="shared" si="122"/>
        <v>0.15884719999999999</v>
      </c>
      <c r="K577" s="33">
        <f t="shared" si="125"/>
        <v>2.3827079999999997E-2</v>
      </c>
      <c r="L577" s="33"/>
      <c r="O577" s="2">
        <f t="shared" si="126"/>
        <v>2.9746666666666668E-2</v>
      </c>
      <c r="P577" s="2">
        <f t="shared" si="127"/>
        <v>21.4176</v>
      </c>
      <c r="Q577" s="7">
        <f t="shared" si="128"/>
        <v>97</v>
      </c>
      <c r="R577" s="2">
        <v>1.2</v>
      </c>
      <c r="S577" s="2">
        <f t="shared" si="123"/>
        <v>4.45</v>
      </c>
      <c r="T577" s="2"/>
      <c r="U577" s="2"/>
      <c r="Y577" s="8">
        <f t="shared" si="124"/>
        <v>3.4531999999999998</v>
      </c>
    </row>
    <row r="578" spans="1:25" x14ac:dyDescent="0.25">
      <c r="A578" s="34">
        <f t="shared" si="135"/>
        <v>570</v>
      </c>
      <c r="B578" s="35" t="e">
        <f t="shared" si="135"/>
        <v>#REF!</v>
      </c>
      <c r="C578" s="42" t="s">
        <v>151</v>
      </c>
      <c r="D578" s="43">
        <v>9</v>
      </c>
      <c r="E578" s="43"/>
      <c r="F578" s="36">
        <f>170765/1000000</f>
        <v>0.170765</v>
      </c>
      <c r="G578" s="36">
        <f t="shared" si="131"/>
        <v>3.3640705E-2</v>
      </c>
      <c r="H578" s="36">
        <f>62560/1000000</f>
        <v>6.2560000000000004E-2</v>
      </c>
      <c r="I578" s="37">
        <f t="shared" si="134"/>
        <v>9.384E-3</v>
      </c>
      <c r="J578" s="32">
        <f t="shared" si="122"/>
        <v>0.13919600000000001</v>
      </c>
      <c r="K578" s="33">
        <f t="shared" si="125"/>
        <v>2.0879400000000003E-2</v>
      </c>
      <c r="L578" s="33"/>
      <c r="O578" s="2">
        <f t="shared" si="126"/>
        <v>2.6066666666666669E-2</v>
      </c>
      <c r="P578" s="2">
        <f t="shared" si="127"/>
        <v>18.768000000000001</v>
      </c>
      <c r="Q578" s="7">
        <f t="shared" si="128"/>
        <v>85</v>
      </c>
      <c r="R578" s="2">
        <v>1.2</v>
      </c>
      <c r="S578" s="2">
        <f t="shared" si="123"/>
        <v>4.45</v>
      </c>
      <c r="T578" s="2"/>
      <c r="U578" s="2"/>
      <c r="Y578" s="8">
        <f t="shared" si="124"/>
        <v>3.0260000000000007</v>
      </c>
    </row>
    <row r="579" spans="1:25" x14ac:dyDescent="0.25">
      <c r="A579" s="34">
        <f t="shared" si="135"/>
        <v>571</v>
      </c>
      <c r="B579" s="35" t="e">
        <f t="shared" si="135"/>
        <v>#REF!</v>
      </c>
      <c r="C579" s="42" t="s">
        <v>151</v>
      </c>
      <c r="D579" s="43">
        <v>10</v>
      </c>
      <c r="E579" s="43"/>
      <c r="F579" s="36">
        <f>171622/1000000</f>
        <v>0.171622</v>
      </c>
      <c r="G579" s="36">
        <f t="shared" si="131"/>
        <v>3.3809534000000002E-2</v>
      </c>
      <c r="H579" s="36">
        <f>59616/1000000</f>
        <v>5.9616000000000002E-2</v>
      </c>
      <c r="I579" s="37">
        <f t="shared" si="134"/>
        <v>8.9423999999999997E-3</v>
      </c>
      <c r="J579" s="32">
        <f t="shared" si="122"/>
        <v>0.1326456</v>
      </c>
      <c r="K579" s="33">
        <f t="shared" si="125"/>
        <v>1.9896839999999999E-2</v>
      </c>
      <c r="L579" s="33"/>
      <c r="O579" s="2">
        <f t="shared" si="126"/>
        <v>2.4840000000000001E-2</v>
      </c>
      <c r="P579" s="2">
        <f t="shared" si="127"/>
        <v>17.884800000000002</v>
      </c>
      <c r="Q579" s="7">
        <f t="shared" si="128"/>
        <v>81.000000000000014</v>
      </c>
      <c r="R579" s="2">
        <v>1.2</v>
      </c>
      <c r="S579" s="2">
        <f t="shared" si="123"/>
        <v>4.45</v>
      </c>
      <c r="T579" s="2"/>
      <c r="U579" s="2"/>
      <c r="Y579" s="8">
        <f t="shared" si="124"/>
        <v>2.8835999999999999</v>
      </c>
    </row>
    <row r="580" spans="1:25" x14ac:dyDescent="0.25">
      <c r="A580" s="34">
        <f t="shared" si="135"/>
        <v>572</v>
      </c>
      <c r="B580" s="35" t="e">
        <f t="shared" si="135"/>
        <v>#REF!</v>
      </c>
      <c r="C580" s="42" t="s">
        <v>151</v>
      </c>
      <c r="D580" s="43">
        <v>11</v>
      </c>
      <c r="E580" s="43"/>
      <c r="F580" s="36">
        <f>167401/1000000</f>
        <v>0.16740099999999999</v>
      </c>
      <c r="G580" s="36">
        <f t="shared" si="131"/>
        <v>3.2977997000000002E-2</v>
      </c>
      <c r="H580" s="36">
        <f>59616/1000000</f>
        <v>5.9616000000000002E-2</v>
      </c>
      <c r="I580" s="37">
        <f t="shared" si="134"/>
        <v>8.9423999999999997E-3</v>
      </c>
      <c r="J580" s="32">
        <f t="shared" si="122"/>
        <v>0.1326456</v>
      </c>
      <c r="K580" s="33">
        <f t="shared" si="125"/>
        <v>1.9896839999999999E-2</v>
      </c>
      <c r="L580" s="33"/>
      <c r="O580" s="2">
        <f t="shared" si="126"/>
        <v>2.4840000000000001E-2</v>
      </c>
      <c r="P580" s="2">
        <f t="shared" si="127"/>
        <v>17.884800000000002</v>
      </c>
      <c r="Q580" s="7">
        <f t="shared" si="128"/>
        <v>81.000000000000014</v>
      </c>
      <c r="R580" s="2">
        <v>1.2</v>
      </c>
      <c r="S580" s="2">
        <f t="shared" si="123"/>
        <v>4.45</v>
      </c>
      <c r="T580" s="2"/>
      <c r="U580" s="2"/>
      <c r="Y580" s="8">
        <f t="shared" si="124"/>
        <v>2.8835999999999999</v>
      </c>
    </row>
    <row r="581" spans="1:25" x14ac:dyDescent="0.25">
      <c r="A581" s="34">
        <f t="shared" si="135"/>
        <v>573</v>
      </c>
      <c r="B581" s="35" t="e">
        <f t="shared" si="135"/>
        <v>#REF!</v>
      </c>
      <c r="C581" s="42" t="s">
        <v>151</v>
      </c>
      <c r="D581" s="43">
        <v>14</v>
      </c>
      <c r="E581" s="43"/>
      <c r="F581" s="36">
        <f>240960/1000000</f>
        <v>0.24096000000000001</v>
      </c>
      <c r="G581" s="36">
        <f t="shared" si="131"/>
        <v>4.7469120000000004E-2</v>
      </c>
      <c r="H581" s="36">
        <f>100834/1000000</f>
        <v>0.10083399999999999</v>
      </c>
      <c r="I581" s="37">
        <f t="shared" si="134"/>
        <v>1.5125099999999999E-2</v>
      </c>
      <c r="J581" s="32">
        <f t="shared" si="122"/>
        <v>0.22435564999999999</v>
      </c>
      <c r="K581" s="33">
        <f t="shared" si="125"/>
        <v>3.36533475E-2</v>
      </c>
      <c r="L581" s="33"/>
      <c r="O581" s="2">
        <f t="shared" si="126"/>
        <v>4.2014166666666665E-2</v>
      </c>
      <c r="P581" s="2">
        <f t="shared" si="127"/>
        <v>30.2502</v>
      </c>
      <c r="Q581" s="7">
        <f t="shared" si="128"/>
        <v>137.00271739130434</v>
      </c>
      <c r="R581" s="2">
        <v>1.2</v>
      </c>
      <c r="S581" s="2">
        <f t="shared" si="123"/>
        <v>4.45</v>
      </c>
      <c r="T581" s="2"/>
      <c r="U581" s="2"/>
      <c r="Y581" s="8">
        <f t="shared" si="124"/>
        <v>4.8772967391304345</v>
      </c>
    </row>
    <row r="582" spans="1:25" x14ac:dyDescent="0.25">
      <c r="A582" s="34">
        <f t="shared" si="135"/>
        <v>574</v>
      </c>
      <c r="B582" s="35" t="e">
        <f t="shared" si="135"/>
        <v>#REF!</v>
      </c>
      <c r="C582" s="42" t="s">
        <v>151</v>
      </c>
      <c r="D582" s="43">
        <v>15</v>
      </c>
      <c r="E582" s="43"/>
      <c r="F582" s="36">
        <f>153758/1000000</f>
        <v>0.15375800000000001</v>
      </c>
      <c r="G582" s="36">
        <f t="shared" si="131"/>
        <v>3.0290326000000003E-2</v>
      </c>
      <c r="H582" s="36">
        <f>84640/1000000</f>
        <v>8.4640000000000007E-2</v>
      </c>
      <c r="I582" s="37">
        <f t="shared" si="134"/>
        <v>1.2696000000000001E-2</v>
      </c>
      <c r="J582" s="32">
        <f t="shared" si="122"/>
        <v>0.18832400000000002</v>
      </c>
      <c r="K582" s="33">
        <f t="shared" si="125"/>
        <v>2.8248600000000002E-2</v>
      </c>
      <c r="L582" s="33"/>
      <c r="O582" s="2">
        <f t="shared" si="126"/>
        <v>3.5266666666666668E-2</v>
      </c>
      <c r="P582" s="2">
        <f t="shared" si="127"/>
        <v>25.392000000000003</v>
      </c>
      <c r="Q582" s="7">
        <f t="shared" si="128"/>
        <v>115.00000000000001</v>
      </c>
      <c r="R582" s="2">
        <v>1.2</v>
      </c>
      <c r="S582" s="2">
        <f t="shared" si="123"/>
        <v>4.45</v>
      </c>
      <c r="T582" s="2"/>
      <c r="U582" s="2"/>
      <c r="Y582" s="8">
        <f t="shared" si="124"/>
        <v>4.0940000000000003</v>
      </c>
    </row>
    <row r="583" spans="1:25" x14ac:dyDescent="0.25">
      <c r="A583" s="34">
        <f t="shared" si="135"/>
        <v>575</v>
      </c>
      <c r="B583" s="35" t="e">
        <f t="shared" si="135"/>
        <v>#REF!</v>
      </c>
      <c r="C583" s="42" t="s">
        <v>151</v>
      </c>
      <c r="D583" s="43" t="s">
        <v>31</v>
      </c>
      <c r="E583" s="43"/>
      <c r="F583" s="36">
        <f>170370/1000000</f>
        <v>0.17036999999999999</v>
      </c>
      <c r="G583" s="36">
        <f t="shared" si="131"/>
        <v>3.3562889999999998E-2</v>
      </c>
      <c r="H583" s="36">
        <f>88320/1000000</f>
        <v>8.8319999999999996E-2</v>
      </c>
      <c r="I583" s="37">
        <f t="shared" si="134"/>
        <v>1.3247999999999999E-2</v>
      </c>
      <c r="J583" s="32">
        <f t="shared" si="122"/>
        <v>0.19651199999999999</v>
      </c>
      <c r="K583" s="33">
        <f t="shared" si="125"/>
        <v>2.9476799999999997E-2</v>
      </c>
      <c r="L583" s="24" t="s">
        <v>16</v>
      </c>
      <c r="O583" s="2">
        <f t="shared" si="126"/>
        <v>3.6799999999999999E-2</v>
      </c>
      <c r="P583" s="2">
        <f t="shared" si="127"/>
        <v>26.495999999999999</v>
      </c>
      <c r="Q583" s="7">
        <f t="shared" si="128"/>
        <v>120</v>
      </c>
      <c r="R583" s="2">
        <v>1.2</v>
      </c>
      <c r="S583" s="2">
        <f t="shared" si="123"/>
        <v>4.45</v>
      </c>
      <c r="T583" s="2"/>
      <c r="U583" s="2"/>
      <c r="Y583" s="8">
        <f t="shared" si="124"/>
        <v>4.2719999999999994</v>
      </c>
    </row>
    <row r="584" spans="1:25" x14ac:dyDescent="0.25">
      <c r="A584" s="34">
        <f t="shared" si="135"/>
        <v>576</v>
      </c>
      <c r="B584" s="35" t="e">
        <f t="shared" si="135"/>
        <v>#REF!</v>
      </c>
      <c r="C584" s="42" t="s">
        <v>151</v>
      </c>
      <c r="D584" s="43">
        <v>19</v>
      </c>
      <c r="E584" s="43"/>
      <c r="F584" s="36">
        <f>115237/1000000</f>
        <v>0.11523700000000001</v>
      </c>
      <c r="G584" s="36">
        <f t="shared" si="131"/>
        <v>2.2701689000000001E-2</v>
      </c>
      <c r="H584" s="36">
        <f>35828/1000000</f>
        <v>3.5827999999999999E-2</v>
      </c>
      <c r="I584" s="37">
        <f t="shared" si="134"/>
        <v>5.3742E-3</v>
      </c>
      <c r="J584" s="32">
        <f t="shared" si="122"/>
        <v>7.9717300000000005E-2</v>
      </c>
      <c r="K584" s="33">
        <f t="shared" si="125"/>
        <v>1.1957595E-2</v>
      </c>
      <c r="L584" s="33"/>
      <c r="O584" s="2">
        <f t="shared" si="126"/>
        <v>1.4928333333333333E-2</v>
      </c>
      <c r="P584" s="2">
        <f t="shared" si="127"/>
        <v>10.7484</v>
      </c>
      <c r="Q584" s="7">
        <f t="shared" si="128"/>
        <v>48.679347826086961</v>
      </c>
      <c r="R584" s="2">
        <v>1.2</v>
      </c>
      <c r="S584" s="2">
        <f t="shared" si="123"/>
        <v>4.45</v>
      </c>
      <c r="T584" s="2"/>
      <c r="U584" s="2"/>
      <c r="Y584" s="8">
        <f t="shared" si="124"/>
        <v>1.7329847826086959</v>
      </c>
    </row>
    <row r="585" spans="1:25" x14ac:dyDescent="0.25">
      <c r="A585" s="34">
        <f t="shared" si="135"/>
        <v>577</v>
      </c>
      <c r="B585" s="35" t="e">
        <f t="shared" si="135"/>
        <v>#REF!</v>
      </c>
      <c r="C585" s="42" t="s">
        <v>151</v>
      </c>
      <c r="D585" s="43">
        <v>20</v>
      </c>
      <c r="E585" s="43"/>
      <c r="F585" s="36">
        <f>115237/1000000</f>
        <v>0.11523700000000001</v>
      </c>
      <c r="G585" s="36">
        <f t="shared" si="131"/>
        <v>2.2701689000000001E-2</v>
      </c>
      <c r="H585" s="36">
        <f>30178/1000000</f>
        <v>3.0178E-2</v>
      </c>
      <c r="I585" s="37">
        <f t="shared" si="134"/>
        <v>4.5266999999999998E-3</v>
      </c>
      <c r="J585" s="32">
        <f t="shared" ref="J585:J648" si="136">O585*R585*S585</f>
        <v>6.7146049999999999E-2</v>
      </c>
      <c r="K585" s="33">
        <f t="shared" si="125"/>
        <v>1.0071907499999999E-2</v>
      </c>
      <c r="L585" s="33"/>
      <c r="O585" s="2">
        <f t="shared" si="126"/>
        <v>1.2574166666666668E-2</v>
      </c>
      <c r="P585" s="2">
        <f t="shared" si="127"/>
        <v>9.0534000000000017</v>
      </c>
      <c r="Q585" s="7">
        <f t="shared" si="128"/>
        <v>41.002717391304358</v>
      </c>
      <c r="R585" s="2">
        <v>1.2</v>
      </c>
      <c r="S585" s="2">
        <f t="shared" ref="S585:S648" si="137">IF(Q585&lt;=$AE$6,$AF$6,IF(Q585&lt;=$AE$7,$AF$7,IF(Q585&lt;=$AE$8,$AF$8,IF(Q585&lt;=$AE$9,$AF$9,IF(Q585&lt;=$AE$10,$AF$10,0)))))</f>
        <v>4.45</v>
      </c>
      <c r="T585" s="2"/>
      <c r="U585" s="2"/>
      <c r="Y585" s="8">
        <f t="shared" ref="Y585:Y648" si="138">J585/46*1000</f>
        <v>1.4596967391304347</v>
      </c>
    </row>
    <row r="586" spans="1:25" x14ac:dyDescent="0.25">
      <c r="A586" s="34">
        <f t="shared" si="135"/>
        <v>578</v>
      </c>
      <c r="B586" s="35" t="e">
        <f t="shared" si="135"/>
        <v>#REF!</v>
      </c>
      <c r="C586" s="42" t="s">
        <v>151</v>
      </c>
      <c r="D586" s="43">
        <v>21</v>
      </c>
      <c r="E586" s="43">
        <v>1</v>
      </c>
      <c r="F586" s="36">
        <f>158325/1000000</f>
        <v>0.15832499999999999</v>
      </c>
      <c r="G586" s="36">
        <f t="shared" si="131"/>
        <v>3.1190025E-2</v>
      </c>
      <c r="H586" s="36">
        <f>47840/1000000*2</f>
        <v>9.5680000000000001E-2</v>
      </c>
      <c r="I586" s="37">
        <f t="shared" si="134"/>
        <v>1.4352E-2</v>
      </c>
      <c r="J586" s="32">
        <f t="shared" si="136"/>
        <v>0.21288800000000002</v>
      </c>
      <c r="K586" s="33">
        <f t="shared" ref="K586:K649" si="139">J586*0.15</f>
        <v>3.1933200000000002E-2</v>
      </c>
      <c r="L586" s="33"/>
      <c r="O586" s="2">
        <f t="shared" si="126"/>
        <v>3.9866666666666668E-2</v>
      </c>
      <c r="P586" s="2">
        <f t="shared" si="127"/>
        <v>28.704000000000004</v>
      </c>
      <c r="Q586" s="7">
        <f t="shared" si="128"/>
        <v>130.00000000000003</v>
      </c>
      <c r="R586" s="2">
        <v>1.2</v>
      </c>
      <c r="S586" s="2">
        <f t="shared" si="137"/>
        <v>4.45</v>
      </c>
      <c r="T586" s="2"/>
      <c r="U586" s="2"/>
      <c r="Y586" s="8">
        <f t="shared" si="138"/>
        <v>4.6280000000000001</v>
      </c>
    </row>
    <row r="587" spans="1:25" x14ac:dyDescent="0.25">
      <c r="A587" s="34">
        <f t="shared" si="135"/>
        <v>579</v>
      </c>
      <c r="B587" s="35" t="e">
        <f t="shared" si="135"/>
        <v>#REF!</v>
      </c>
      <c r="C587" s="42" t="s">
        <v>151</v>
      </c>
      <c r="D587" s="35">
        <v>21</v>
      </c>
      <c r="E587" s="35">
        <v>2</v>
      </c>
      <c r="F587" s="36">
        <f>158325/1000000</f>
        <v>0.15832499999999999</v>
      </c>
      <c r="G587" s="36">
        <f t="shared" si="131"/>
        <v>3.1190025E-2</v>
      </c>
      <c r="H587" s="36">
        <v>0</v>
      </c>
      <c r="I587" s="37">
        <f t="shared" si="134"/>
        <v>0</v>
      </c>
      <c r="J587" s="32">
        <f t="shared" si="136"/>
        <v>0</v>
      </c>
      <c r="K587" s="33">
        <f t="shared" si="139"/>
        <v>0</v>
      </c>
      <c r="L587" s="33"/>
      <c r="O587" s="2">
        <f t="shared" ref="O587:O650" si="140">H587/2.4</f>
        <v>0</v>
      </c>
      <c r="P587" s="2">
        <f t="shared" ref="P587:P650" si="141">O587*24*30</f>
        <v>0</v>
      </c>
      <c r="Q587" s="7">
        <f t="shared" ref="Q587:Q650" si="142">P587/0.2208</f>
        <v>0</v>
      </c>
      <c r="R587" s="2">
        <v>1.2</v>
      </c>
      <c r="S587" s="2">
        <f t="shared" si="137"/>
        <v>4.45</v>
      </c>
      <c r="T587" s="2"/>
      <c r="U587" s="2"/>
      <c r="Y587" s="8">
        <f t="shared" si="138"/>
        <v>0</v>
      </c>
    </row>
    <row r="588" spans="1:25" x14ac:dyDescent="0.25">
      <c r="A588" s="34">
        <f t="shared" ref="A588:A603" si="143">A587+1</f>
        <v>580</v>
      </c>
      <c r="B588" s="35" t="e">
        <f>B587+1</f>
        <v>#REF!</v>
      </c>
      <c r="C588" s="42" t="s">
        <v>151</v>
      </c>
      <c r="D588" s="43">
        <v>22</v>
      </c>
      <c r="E588" s="43">
        <v>1</v>
      </c>
      <c r="F588" s="36">
        <f>103059/1000000</f>
        <v>0.103059</v>
      </c>
      <c r="G588" s="36">
        <f t="shared" si="131"/>
        <v>2.0302622999999999E-2</v>
      </c>
      <c r="H588" s="36">
        <f>26128/1000000*2</f>
        <v>5.2255999999999997E-2</v>
      </c>
      <c r="I588" s="37">
        <f t="shared" si="134"/>
        <v>7.8383999999999988E-3</v>
      </c>
      <c r="J588" s="32">
        <f t="shared" si="136"/>
        <v>0.1162696</v>
      </c>
      <c r="K588" s="33">
        <f t="shared" si="139"/>
        <v>1.7440439999999998E-2</v>
      </c>
      <c r="L588" s="33"/>
      <c r="O588" s="2">
        <f t="shared" si="140"/>
        <v>2.1773333333333332E-2</v>
      </c>
      <c r="P588" s="2">
        <f t="shared" si="141"/>
        <v>15.676799999999997</v>
      </c>
      <c r="Q588" s="7">
        <f t="shared" si="142"/>
        <v>70.999999999999986</v>
      </c>
      <c r="R588" s="2">
        <v>1.2</v>
      </c>
      <c r="S588" s="2">
        <f t="shared" si="137"/>
        <v>4.45</v>
      </c>
      <c r="T588" s="2"/>
      <c r="U588" s="2"/>
      <c r="Y588" s="8">
        <f t="shared" si="138"/>
        <v>2.5276000000000001</v>
      </c>
    </row>
    <row r="589" spans="1:25" x14ac:dyDescent="0.25">
      <c r="A589" s="34">
        <f t="shared" si="143"/>
        <v>581</v>
      </c>
      <c r="B589" s="35" t="e">
        <f>B588+1</f>
        <v>#REF!</v>
      </c>
      <c r="C589" s="42" t="s">
        <v>151</v>
      </c>
      <c r="D589" s="35">
        <v>22</v>
      </c>
      <c r="E589" s="35">
        <v>2</v>
      </c>
      <c r="F589" s="36">
        <f>103059/1000000</f>
        <v>0.103059</v>
      </c>
      <c r="G589" s="36">
        <f t="shared" si="131"/>
        <v>2.0302622999999999E-2</v>
      </c>
      <c r="H589" s="36">
        <v>0</v>
      </c>
      <c r="I589" s="37">
        <f t="shared" si="134"/>
        <v>0</v>
      </c>
      <c r="J589" s="32">
        <f t="shared" si="136"/>
        <v>0</v>
      </c>
      <c r="K589" s="33">
        <f t="shared" si="139"/>
        <v>0</v>
      </c>
      <c r="L589" s="33"/>
      <c r="O589" s="2">
        <f t="shared" si="140"/>
        <v>0</v>
      </c>
      <c r="P589" s="2">
        <f t="shared" si="141"/>
        <v>0</v>
      </c>
      <c r="Q589" s="7">
        <f t="shared" si="142"/>
        <v>0</v>
      </c>
      <c r="R589" s="2">
        <v>1.2</v>
      </c>
      <c r="S589" s="2">
        <f t="shared" si="137"/>
        <v>4.45</v>
      </c>
      <c r="T589" s="2"/>
      <c r="U589" s="2"/>
      <c r="Y589" s="8">
        <f t="shared" si="138"/>
        <v>0</v>
      </c>
    </row>
    <row r="590" spans="1:25" x14ac:dyDescent="0.25">
      <c r="A590" s="34">
        <f t="shared" si="143"/>
        <v>582</v>
      </c>
      <c r="B590" s="35" t="e">
        <f>B589+1</f>
        <v>#REF!</v>
      </c>
      <c r="C590" s="42" t="s">
        <v>151</v>
      </c>
      <c r="D590" s="43">
        <v>24</v>
      </c>
      <c r="E590" s="43"/>
      <c r="F590" s="36">
        <f>168844/1000000</f>
        <v>0.16884399999999999</v>
      </c>
      <c r="G590" s="36">
        <f t="shared" si="131"/>
        <v>3.3262267999999998E-2</v>
      </c>
      <c r="H590" s="36">
        <f>62560/1000000</f>
        <v>6.2560000000000004E-2</v>
      </c>
      <c r="I590" s="37">
        <f t="shared" si="134"/>
        <v>9.384E-3</v>
      </c>
      <c r="J590" s="32">
        <f t="shared" si="136"/>
        <v>0.13919600000000001</v>
      </c>
      <c r="K590" s="33">
        <f t="shared" si="139"/>
        <v>2.0879400000000003E-2</v>
      </c>
      <c r="L590" s="33"/>
      <c r="O590" s="2">
        <f t="shared" si="140"/>
        <v>2.6066666666666669E-2</v>
      </c>
      <c r="P590" s="2">
        <f t="shared" si="141"/>
        <v>18.768000000000001</v>
      </c>
      <c r="Q590" s="7">
        <f t="shared" si="142"/>
        <v>85</v>
      </c>
      <c r="R590" s="2">
        <v>1.2</v>
      </c>
      <c r="S590" s="2">
        <f t="shared" si="137"/>
        <v>4.45</v>
      </c>
      <c r="T590" s="2"/>
      <c r="U590" s="2"/>
      <c r="Y590" s="8">
        <f t="shared" si="138"/>
        <v>3.0260000000000007</v>
      </c>
    </row>
    <row r="591" spans="1:25" x14ac:dyDescent="0.25">
      <c r="A591" s="34">
        <f t="shared" si="143"/>
        <v>583</v>
      </c>
      <c r="B591" s="35" t="e">
        <f>#REF!+1</f>
        <v>#REF!</v>
      </c>
      <c r="C591" s="40" t="s">
        <v>152</v>
      </c>
      <c r="D591" s="35" t="s">
        <v>153</v>
      </c>
      <c r="E591" s="35"/>
      <c r="F591" s="46">
        <v>0.14943699999999999</v>
      </c>
      <c r="G591" s="46">
        <v>2.9439088999999998E-2</v>
      </c>
      <c r="H591" s="46">
        <v>6.1087000000000002E-2</v>
      </c>
      <c r="I591" s="47">
        <v>9.1630500000000007E-3</v>
      </c>
      <c r="J591" s="32">
        <f t="shared" si="136"/>
        <v>0.13591857500000001</v>
      </c>
      <c r="K591" s="33">
        <f t="shared" si="139"/>
        <v>2.0387786250000001E-2</v>
      </c>
      <c r="L591" s="33"/>
      <c r="O591" s="2">
        <f t="shared" si="140"/>
        <v>2.5452916666666669E-2</v>
      </c>
      <c r="P591" s="2">
        <f t="shared" si="141"/>
        <v>18.3261</v>
      </c>
      <c r="Q591" s="7">
        <f t="shared" si="142"/>
        <v>82.998641304347828</v>
      </c>
      <c r="R591" s="2">
        <v>1.2</v>
      </c>
      <c r="S591" s="2">
        <f t="shared" si="137"/>
        <v>4.45</v>
      </c>
      <c r="T591" s="2"/>
      <c r="U591" s="2"/>
      <c r="Y591" s="8">
        <f t="shared" si="138"/>
        <v>2.9547516304347829</v>
      </c>
    </row>
    <row r="592" spans="1:25" x14ac:dyDescent="0.25">
      <c r="A592" s="34">
        <f t="shared" si="143"/>
        <v>584</v>
      </c>
      <c r="B592" s="35" t="e">
        <f>B591+1</f>
        <v>#REF!</v>
      </c>
      <c r="C592" s="40" t="s">
        <v>152</v>
      </c>
      <c r="D592" s="41" t="s">
        <v>154</v>
      </c>
      <c r="E592" s="35">
        <v>1</v>
      </c>
      <c r="F592" s="46">
        <v>0.14829533333333333</v>
      </c>
      <c r="G592" s="46">
        <v>2.9214180666666669E-2</v>
      </c>
      <c r="H592" s="46">
        <v>5.3727999999999998E-2</v>
      </c>
      <c r="I592" s="47">
        <v>8.059199999999999E-3</v>
      </c>
      <c r="J592" s="32">
        <f t="shared" si="136"/>
        <v>0.11954480000000001</v>
      </c>
      <c r="K592" s="33">
        <f t="shared" si="139"/>
        <v>1.7931720000000002E-2</v>
      </c>
      <c r="L592" s="33"/>
      <c r="O592" s="2">
        <f t="shared" si="140"/>
        <v>2.2386666666666666E-2</v>
      </c>
      <c r="P592" s="2">
        <f t="shared" si="141"/>
        <v>16.118400000000001</v>
      </c>
      <c r="Q592" s="7">
        <f t="shared" si="142"/>
        <v>73</v>
      </c>
      <c r="R592" s="2">
        <v>1.2</v>
      </c>
      <c r="S592" s="2">
        <f t="shared" si="137"/>
        <v>4.45</v>
      </c>
      <c r="T592" s="2"/>
      <c r="U592" s="2"/>
      <c r="Y592" s="8">
        <f t="shared" si="138"/>
        <v>2.5988000000000002</v>
      </c>
    </row>
    <row r="593" spans="1:25" x14ac:dyDescent="0.25">
      <c r="A593" s="34">
        <f t="shared" si="143"/>
        <v>585</v>
      </c>
      <c r="B593" s="35" t="e">
        <f>B592+1</f>
        <v>#REF!</v>
      </c>
      <c r="C593" s="40" t="s">
        <v>152</v>
      </c>
      <c r="D593" s="41" t="s">
        <v>154</v>
      </c>
      <c r="E593" s="35">
        <v>2</v>
      </c>
      <c r="F593" s="46">
        <v>0.14829533333333333</v>
      </c>
      <c r="G593" s="46">
        <v>2.9214180666666669E-2</v>
      </c>
      <c r="H593" s="46">
        <v>5.3727999999999998E-2</v>
      </c>
      <c r="I593" s="47">
        <v>8.059199999999999E-3</v>
      </c>
      <c r="J593" s="32">
        <f t="shared" si="136"/>
        <v>0.11954480000000001</v>
      </c>
      <c r="K593" s="33">
        <f t="shared" si="139"/>
        <v>1.7931720000000002E-2</v>
      </c>
      <c r="L593" s="33"/>
      <c r="O593" s="2">
        <f t="shared" si="140"/>
        <v>2.2386666666666666E-2</v>
      </c>
      <c r="P593" s="2">
        <f t="shared" si="141"/>
        <v>16.118400000000001</v>
      </c>
      <c r="Q593" s="7">
        <f t="shared" si="142"/>
        <v>73</v>
      </c>
      <c r="R593" s="2">
        <v>1.2</v>
      </c>
      <c r="S593" s="2">
        <f t="shared" si="137"/>
        <v>4.45</v>
      </c>
      <c r="T593" s="2"/>
      <c r="U593" s="2"/>
      <c r="Y593" s="8">
        <f t="shared" si="138"/>
        <v>2.5988000000000002</v>
      </c>
    </row>
    <row r="594" spans="1:25" x14ac:dyDescent="0.25">
      <c r="A594" s="34">
        <f t="shared" si="143"/>
        <v>586</v>
      </c>
      <c r="B594" s="35" t="e">
        <f>B593+1</f>
        <v>#REF!</v>
      </c>
      <c r="C594" s="40" t="s">
        <v>152</v>
      </c>
      <c r="D594" s="41" t="s">
        <v>154</v>
      </c>
      <c r="E594" s="35">
        <v>3</v>
      </c>
      <c r="F594" s="46">
        <v>0.14829533333333333</v>
      </c>
      <c r="G594" s="46">
        <v>2.9214180666666669E-2</v>
      </c>
      <c r="H594" s="46">
        <v>5.3727999999999998E-2</v>
      </c>
      <c r="I594" s="47">
        <v>8.059199999999999E-3</v>
      </c>
      <c r="J594" s="32">
        <f t="shared" si="136"/>
        <v>0.11954480000000001</v>
      </c>
      <c r="K594" s="33">
        <f t="shared" si="139"/>
        <v>1.7931720000000002E-2</v>
      </c>
      <c r="L594" s="33"/>
      <c r="O594" s="2">
        <f t="shared" si="140"/>
        <v>2.2386666666666666E-2</v>
      </c>
      <c r="P594" s="2">
        <f t="shared" si="141"/>
        <v>16.118400000000001</v>
      </c>
      <c r="Q594" s="7">
        <f t="shared" si="142"/>
        <v>73</v>
      </c>
      <c r="R594" s="2">
        <v>1.2</v>
      </c>
      <c r="S594" s="2">
        <f t="shared" si="137"/>
        <v>4.45</v>
      </c>
      <c r="T594" s="2"/>
      <c r="U594" s="2"/>
      <c r="Y594" s="8">
        <f t="shared" si="138"/>
        <v>2.5988000000000002</v>
      </c>
    </row>
    <row r="595" spans="1:25" x14ac:dyDescent="0.25">
      <c r="A595" s="34">
        <f t="shared" si="143"/>
        <v>587</v>
      </c>
      <c r="B595" s="35"/>
      <c r="C595" s="40" t="s">
        <v>152</v>
      </c>
      <c r="D595" s="35">
        <v>2</v>
      </c>
      <c r="E595" s="35"/>
      <c r="F595" s="36">
        <f>129542/1000000</f>
        <v>0.12954199999999999</v>
      </c>
      <c r="G595" s="36">
        <f>F595*0.197</f>
        <v>2.5519773999999999E-2</v>
      </c>
      <c r="H595" s="36">
        <f>48576/1000000</f>
        <v>4.8576000000000001E-2</v>
      </c>
      <c r="I595" s="37">
        <f>H595*0.15</f>
        <v>7.2864000000000002E-3</v>
      </c>
      <c r="J595" s="32">
        <f t="shared" si="136"/>
        <v>0.1080816</v>
      </c>
      <c r="K595" s="33">
        <f t="shared" si="139"/>
        <v>1.6212239999999999E-2</v>
      </c>
      <c r="L595" s="33"/>
      <c r="O595" s="2">
        <f t="shared" si="140"/>
        <v>2.0240000000000001E-2</v>
      </c>
      <c r="P595" s="2">
        <f t="shared" si="141"/>
        <v>14.572800000000001</v>
      </c>
      <c r="Q595" s="7">
        <f t="shared" si="142"/>
        <v>66</v>
      </c>
      <c r="R595" s="2">
        <v>1.2</v>
      </c>
      <c r="S595" s="2">
        <f t="shared" si="137"/>
        <v>4.45</v>
      </c>
      <c r="T595" s="2"/>
      <c r="U595" s="2"/>
      <c r="Y595" s="8">
        <f t="shared" si="138"/>
        <v>2.3495999999999997</v>
      </c>
    </row>
    <row r="596" spans="1:25" x14ac:dyDescent="0.25">
      <c r="A596" s="34">
        <f t="shared" si="143"/>
        <v>588</v>
      </c>
      <c r="B596" s="35"/>
      <c r="C596" s="40" t="s">
        <v>152</v>
      </c>
      <c r="D596" s="41" t="s">
        <v>155</v>
      </c>
      <c r="E596" s="35"/>
      <c r="F596" s="46">
        <v>0.1522</v>
      </c>
      <c r="G596" s="46">
        <v>0.03</v>
      </c>
      <c r="H596" s="46">
        <v>6.4000000000000001E-2</v>
      </c>
      <c r="I596" s="47">
        <v>9.5999999999999992E-3</v>
      </c>
      <c r="J596" s="32">
        <f t="shared" si="136"/>
        <v>0.1424</v>
      </c>
      <c r="K596" s="33">
        <f t="shared" si="139"/>
        <v>2.1360000000000001E-2</v>
      </c>
      <c r="L596" s="33"/>
      <c r="O596" s="2">
        <f t="shared" si="140"/>
        <v>2.6666666666666668E-2</v>
      </c>
      <c r="P596" s="2">
        <f t="shared" si="141"/>
        <v>19.2</v>
      </c>
      <c r="Q596" s="7">
        <f t="shared" si="142"/>
        <v>86.956521739130437</v>
      </c>
      <c r="R596" s="2">
        <v>1.2</v>
      </c>
      <c r="S596" s="2">
        <f t="shared" si="137"/>
        <v>4.45</v>
      </c>
      <c r="T596" s="2"/>
      <c r="U596" s="2"/>
      <c r="Y596" s="8">
        <f t="shared" si="138"/>
        <v>3.0956521739130438</v>
      </c>
    </row>
    <row r="597" spans="1:25" x14ac:dyDescent="0.25">
      <c r="A597" s="34">
        <f t="shared" si="143"/>
        <v>589</v>
      </c>
      <c r="B597" s="35"/>
      <c r="C597" s="40" t="s">
        <v>152</v>
      </c>
      <c r="D597" s="41" t="s">
        <v>43</v>
      </c>
      <c r="E597" s="35"/>
      <c r="F597" s="36">
        <v>0.14746000000000001</v>
      </c>
      <c r="G597" s="36">
        <f>F597*0.197</f>
        <v>2.9049620000000002E-2</v>
      </c>
      <c r="H597" s="36">
        <v>7.6544000000000001E-2</v>
      </c>
      <c r="I597" s="37">
        <f>H597*0.15</f>
        <v>1.14816E-2</v>
      </c>
      <c r="J597" s="32">
        <f t="shared" si="136"/>
        <v>0.1703104</v>
      </c>
      <c r="K597" s="33">
        <f t="shared" si="139"/>
        <v>2.5546559999999999E-2</v>
      </c>
      <c r="L597" s="33"/>
      <c r="O597" s="2">
        <f t="shared" si="140"/>
        <v>3.1893333333333336E-2</v>
      </c>
      <c r="P597" s="2">
        <f t="shared" si="141"/>
        <v>22.963200000000004</v>
      </c>
      <c r="Q597" s="7">
        <f t="shared" si="142"/>
        <v>104.00000000000001</v>
      </c>
      <c r="R597" s="2">
        <v>1.2</v>
      </c>
      <c r="S597" s="2">
        <f t="shared" si="137"/>
        <v>4.45</v>
      </c>
      <c r="T597" s="2"/>
      <c r="U597" s="2"/>
      <c r="Y597" s="8">
        <f t="shared" si="138"/>
        <v>3.7024000000000004</v>
      </c>
    </row>
    <row r="598" spans="1:25" x14ac:dyDescent="0.25">
      <c r="A598" s="34">
        <f t="shared" si="143"/>
        <v>590</v>
      </c>
      <c r="B598" s="35"/>
      <c r="C598" s="40" t="s">
        <v>152</v>
      </c>
      <c r="D598" s="41" t="s">
        <v>156</v>
      </c>
      <c r="E598" s="35"/>
      <c r="F598" s="36">
        <v>0.37419999999999998</v>
      </c>
      <c r="G598" s="36">
        <f>F598*0.197</f>
        <v>7.3717400000000002E-2</v>
      </c>
      <c r="H598" s="36">
        <v>4.0480000000000002E-2</v>
      </c>
      <c r="I598" s="37">
        <f>H598*0.15</f>
        <v>6.0720000000000001E-3</v>
      </c>
      <c r="J598" s="32">
        <f t="shared" si="136"/>
        <v>9.0068000000000009E-2</v>
      </c>
      <c r="K598" s="33">
        <f t="shared" si="139"/>
        <v>1.3510200000000002E-2</v>
      </c>
      <c r="L598" s="33"/>
      <c r="O598" s="2">
        <f t="shared" si="140"/>
        <v>1.6866666666666669E-2</v>
      </c>
      <c r="P598" s="2">
        <f t="shared" si="141"/>
        <v>12.144000000000002</v>
      </c>
      <c r="Q598" s="7">
        <f t="shared" si="142"/>
        <v>55.000000000000007</v>
      </c>
      <c r="R598" s="2">
        <v>1.2</v>
      </c>
      <c r="S598" s="2">
        <f t="shared" si="137"/>
        <v>4.45</v>
      </c>
      <c r="T598" s="2"/>
      <c r="U598" s="2"/>
      <c r="Y598" s="8">
        <f t="shared" si="138"/>
        <v>1.9580000000000002</v>
      </c>
    </row>
    <row r="599" spans="1:25" x14ac:dyDescent="0.25">
      <c r="A599" s="34">
        <f t="shared" si="143"/>
        <v>591</v>
      </c>
      <c r="B599" s="35"/>
      <c r="C599" s="40" t="s">
        <v>152</v>
      </c>
      <c r="D599" s="41" t="s">
        <v>157</v>
      </c>
      <c r="E599" s="35"/>
      <c r="F599" s="36">
        <v>0.14449999999999999</v>
      </c>
      <c r="G599" s="36">
        <v>2.8500000000000001E-2</v>
      </c>
      <c r="H599" s="36">
        <v>5.3999999999999999E-2</v>
      </c>
      <c r="I599" s="37">
        <v>8.0999999999999996E-3</v>
      </c>
      <c r="J599" s="32">
        <f t="shared" si="136"/>
        <v>0.12015000000000001</v>
      </c>
      <c r="K599" s="33">
        <f t="shared" si="139"/>
        <v>1.80225E-2</v>
      </c>
      <c r="L599" s="33"/>
      <c r="O599" s="2">
        <f t="shared" si="140"/>
        <v>2.2499999999999999E-2</v>
      </c>
      <c r="P599" s="2">
        <f t="shared" si="141"/>
        <v>16.200000000000003</v>
      </c>
      <c r="Q599" s="7">
        <f t="shared" si="142"/>
        <v>73.369565217391312</v>
      </c>
      <c r="R599" s="2">
        <v>1.2</v>
      </c>
      <c r="S599" s="2">
        <f t="shared" si="137"/>
        <v>4.45</v>
      </c>
      <c r="T599" s="2"/>
      <c r="U599" s="2"/>
      <c r="Y599" s="8">
        <f t="shared" si="138"/>
        <v>2.6119565217391307</v>
      </c>
    </row>
    <row r="600" spans="1:25" x14ac:dyDescent="0.25">
      <c r="A600" s="34">
        <f t="shared" si="143"/>
        <v>592</v>
      </c>
      <c r="B600" s="35"/>
      <c r="C600" s="40" t="s">
        <v>152</v>
      </c>
      <c r="D600" s="41" t="s">
        <v>158</v>
      </c>
      <c r="E600" s="35"/>
      <c r="F600" s="36">
        <v>0.14817</v>
      </c>
      <c r="G600" s="36">
        <f>F600*0.197</f>
        <v>2.9189490000000002E-2</v>
      </c>
      <c r="H600" s="36">
        <v>6.8447999999999995E-2</v>
      </c>
      <c r="I600" s="37">
        <f t="shared" ref="I600:I609" si="144">H600*0.15</f>
        <v>1.0267199999999999E-2</v>
      </c>
      <c r="J600" s="32">
        <f t="shared" si="136"/>
        <v>0.15229679999999998</v>
      </c>
      <c r="K600" s="33">
        <f t="shared" si="139"/>
        <v>2.2844519999999997E-2</v>
      </c>
      <c r="L600" s="33"/>
      <c r="O600" s="2">
        <f t="shared" si="140"/>
        <v>2.852E-2</v>
      </c>
      <c r="P600" s="2">
        <f t="shared" si="141"/>
        <v>20.534399999999998</v>
      </c>
      <c r="Q600" s="7">
        <f t="shared" si="142"/>
        <v>92.999999999999986</v>
      </c>
      <c r="R600" s="2">
        <v>1.2</v>
      </c>
      <c r="S600" s="2">
        <f t="shared" si="137"/>
        <v>4.45</v>
      </c>
      <c r="T600" s="2"/>
      <c r="U600" s="2"/>
      <c r="Y600" s="8">
        <f t="shared" si="138"/>
        <v>3.3107999999999995</v>
      </c>
    </row>
    <row r="601" spans="1:25" x14ac:dyDescent="0.25">
      <c r="A601" s="34">
        <f t="shared" si="143"/>
        <v>593</v>
      </c>
      <c r="B601" s="35"/>
      <c r="C601" s="40" t="s">
        <v>152</v>
      </c>
      <c r="D601" s="35">
        <v>4</v>
      </c>
      <c r="E601" s="35"/>
      <c r="F601" s="36">
        <f>142316/1000000</f>
        <v>0.142316</v>
      </c>
      <c r="G601" s="36">
        <f>F601*0.197</f>
        <v>2.8036252000000001E-2</v>
      </c>
      <c r="H601" s="36">
        <f>55200/1000000</f>
        <v>5.5199999999999999E-2</v>
      </c>
      <c r="I601" s="37">
        <f t="shared" si="144"/>
        <v>8.2799999999999992E-3</v>
      </c>
      <c r="J601" s="32">
        <f t="shared" si="136"/>
        <v>0.12282</v>
      </c>
      <c r="K601" s="33">
        <f t="shared" si="139"/>
        <v>1.8422999999999998E-2</v>
      </c>
      <c r="L601" s="33"/>
      <c r="O601" s="2">
        <f t="shared" si="140"/>
        <v>2.3E-2</v>
      </c>
      <c r="P601" s="2">
        <f t="shared" si="141"/>
        <v>16.560000000000002</v>
      </c>
      <c r="Q601" s="7">
        <f t="shared" si="142"/>
        <v>75.000000000000014</v>
      </c>
      <c r="R601" s="2">
        <v>1.2</v>
      </c>
      <c r="S601" s="2">
        <f t="shared" si="137"/>
        <v>4.45</v>
      </c>
      <c r="T601" s="2"/>
      <c r="U601" s="2"/>
      <c r="Y601" s="8">
        <f t="shared" si="138"/>
        <v>2.67</v>
      </c>
    </row>
    <row r="602" spans="1:25" x14ac:dyDescent="0.25">
      <c r="A602" s="34">
        <f t="shared" si="143"/>
        <v>594</v>
      </c>
      <c r="B602" s="35"/>
      <c r="C602" s="40" t="s">
        <v>152</v>
      </c>
      <c r="D602" s="35" t="s">
        <v>26</v>
      </c>
      <c r="E602" s="35"/>
      <c r="F602" s="36">
        <v>0.1779</v>
      </c>
      <c r="G602" s="36">
        <v>4.2099999999999999E-2</v>
      </c>
      <c r="H602" s="36">
        <f>50047/1000000</f>
        <v>5.0047000000000001E-2</v>
      </c>
      <c r="I602" s="37">
        <f t="shared" si="144"/>
        <v>7.5070499999999995E-3</v>
      </c>
      <c r="J602" s="32">
        <f t="shared" si="136"/>
        <v>0.11135457500000001</v>
      </c>
      <c r="K602" s="33">
        <f t="shared" si="139"/>
        <v>1.6703186250000002E-2</v>
      </c>
      <c r="L602" s="24" t="s">
        <v>16</v>
      </c>
      <c r="O602" s="2">
        <f t="shared" si="140"/>
        <v>2.0852916666666669E-2</v>
      </c>
      <c r="P602" s="2">
        <f t="shared" si="141"/>
        <v>15.014100000000003</v>
      </c>
      <c r="Q602" s="7">
        <f t="shared" si="142"/>
        <v>67.998641304347842</v>
      </c>
      <c r="R602" s="2">
        <v>1.2</v>
      </c>
      <c r="S602" s="2">
        <f t="shared" si="137"/>
        <v>4.45</v>
      </c>
      <c r="T602" s="2"/>
      <c r="U602" s="2"/>
      <c r="Y602" s="8">
        <f t="shared" si="138"/>
        <v>2.4207516304347831</v>
      </c>
    </row>
    <row r="603" spans="1:25" x14ac:dyDescent="0.25">
      <c r="A603" s="34">
        <f t="shared" si="143"/>
        <v>595</v>
      </c>
      <c r="B603" s="35"/>
      <c r="C603" s="40" t="s">
        <v>152</v>
      </c>
      <c r="D603" s="41" t="s">
        <v>159</v>
      </c>
      <c r="E603" s="35"/>
      <c r="F603" s="36">
        <v>0.13381999999999999</v>
      </c>
      <c r="G603" s="36">
        <f t="shared" ref="G603:G609" si="145">F603*0.197</f>
        <v>2.636254E-2</v>
      </c>
      <c r="H603" s="36">
        <v>5.2255999999999997E-2</v>
      </c>
      <c r="I603" s="37">
        <f t="shared" si="144"/>
        <v>7.8383999999999988E-3</v>
      </c>
      <c r="J603" s="32">
        <f t="shared" si="136"/>
        <v>0.1162696</v>
      </c>
      <c r="K603" s="33">
        <f t="shared" si="139"/>
        <v>1.7440439999999998E-2</v>
      </c>
      <c r="L603" s="33"/>
      <c r="O603" s="2">
        <f t="shared" si="140"/>
        <v>2.1773333333333332E-2</v>
      </c>
      <c r="P603" s="2">
        <f t="shared" si="141"/>
        <v>15.676799999999997</v>
      </c>
      <c r="Q603" s="7">
        <f t="shared" si="142"/>
        <v>70.999999999999986</v>
      </c>
      <c r="R603" s="2">
        <v>1.2</v>
      </c>
      <c r="S603" s="2">
        <f t="shared" si="137"/>
        <v>4.45</v>
      </c>
      <c r="T603" s="2"/>
      <c r="U603" s="2"/>
      <c r="Y603" s="8">
        <f t="shared" si="138"/>
        <v>2.5276000000000001</v>
      </c>
    </row>
    <row r="604" spans="1:25" x14ac:dyDescent="0.25">
      <c r="A604" s="34">
        <f t="shared" ref="A604:B619" si="146">A603+1</f>
        <v>596</v>
      </c>
      <c r="B604" s="35"/>
      <c r="C604" s="40" t="s">
        <v>152</v>
      </c>
      <c r="D604" s="35">
        <v>6</v>
      </c>
      <c r="E604" s="35"/>
      <c r="F604" s="36">
        <f>157559/1000000</f>
        <v>0.157559</v>
      </c>
      <c r="G604" s="36">
        <f t="shared" si="145"/>
        <v>3.1039123000000002E-2</v>
      </c>
      <c r="H604" s="36">
        <f>40480/1000000</f>
        <v>4.0480000000000002E-2</v>
      </c>
      <c r="I604" s="37">
        <f t="shared" si="144"/>
        <v>6.0720000000000001E-3</v>
      </c>
      <c r="J604" s="32">
        <f t="shared" si="136"/>
        <v>9.0068000000000009E-2</v>
      </c>
      <c r="K604" s="33">
        <f t="shared" si="139"/>
        <v>1.3510200000000002E-2</v>
      </c>
      <c r="L604" s="24" t="s">
        <v>16</v>
      </c>
      <c r="O604" s="2">
        <f t="shared" si="140"/>
        <v>1.6866666666666669E-2</v>
      </c>
      <c r="P604" s="2">
        <f t="shared" si="141"/>
        <v>12.144000000000002</v>
      </c>
      <c r="Q604" s="7">
        <f t="shared" si="142"/>
        <v>55.000000000000007</v>
      </c>
      <c r="R604" s="2">
        <v>1.2</v>
      </c>
      <c r="S604" s="2">
        <f t="shared" si="137"/>
        <v>4.45</v>
      </c>
      <c r="T604" s="2"/>
      <c r="U604" s="2"/>
      <c r="Y604" s="8">
        <f t="shared" si="138"/>
        <v>1.9580000000000002</v>
      </c>
    </row>
    <row r="605" spans="1:25" x14ac:dyDescent="0.25">
      <c r="A605" s="34">
        <f t="shared" si="146"/>
        <v>597</v>
      </c>
      <c r="B605" s="35"/>
      <c r="C605" s="40" t="s">
        <v>152</v>
      </c>
      <c r="D605" s="35" t="s">
        <v>27</v>
      </c>
      <c r="E605" s="35"/>
      <c r="F605" s="36">
        <f>142316/1000000</f>
        <v>0.142316</v>
      </c>
      <c r="G605" s="36">
        <f t="shared" si="145"/>
        <v>2.8036252000000001E-2</v>
      </c>
      <c r="H605" s="36">
        <f>53726/1000000</f>
        <v>5.3726000000000003E-2</v>
      </c>
      <c r="I605" s="37">
        <f t="shared" si="144"/>
        <v>8.0589000000000008E-3</v>
      </c>
      <c r="J605" s="32">
        <f t="shared" si="136"/>
        <v>0.11954035000000002</v>
      </c>
      <c r="K605" s="33">
        <f t="shared" si="139"/>
        <v>1.7931052500000003E-2</v>
      </c>
      <c r="L605" s="24" t="s">
        <v>16</v>
      </c>
      <c r="O605" s="2">
        <f t="shared" si="140"/>
        <v>2.2385833333333334E-2</v>
      </c>
      <c r="P605" s="2">
        <f t="shared" si="141"/>
        <v>16.117800000000003</v>
      </c>
      <c r="Q605" s="7">
        <f t="shared" si="142"/>
        <v>72.99728260869567</v>
      </c>
      <c r="R605" s="2">
        <v>1.2</v>
      </c>
      <c r="S605" s="2">
        <f t="shared" si="137"/>
        <v>4.45</v>
      </c>
      <c r="T605" s="2"/>
      <c r="U605" s="2"/>
      <c r="Y605" s="8">
        <f t="shared" si="138"/>
        <v>2.5987032608695655</v>
      </c>
    </row>
    <row r="606" spans="1:25" x14ac:dyDescent="0.25">
      <c r="A606" s="34">
        <f t="shared" si="146"/>
        <v>598</v>
      </c>
      <c r="B606" s="35"/>
      <c r="C606" s="40" t="s">
        <v>152</v>
      </c>
      <c r="D606" s="41" t="s">
        <v>84</v>
      </c>
      <c r="E606" s="35"/>
      <c r="F606" s="36">
        <v>0.20688999999999999</v>
      </c>
      <c r="G606" s="36">
        <f t="shared" si="145"/>
        <v>4.0757330000000001E-2</v>
      </c>
      <c r="H606" s="36">
        <v>6.6239999999999993E-2</v>
      </c>
      <c r="I606" s="37">
        <f t="shared" si="144"/>
        <v>9.9359999999999987E-3</v>
      </c>
      <c r="J606" s="32">
        <f t="shared" si="136"/>
        <v>0.14738399999999999</v>
      </c>
      <c r="K606" s="33">
        <f t="shared" si="139"/>
        <v>2.2107599999999998E-2</v>
      </c>
      <c r="L606" s="33"/>
      <c r="O606" s="2">
        <f t="shared" si="140"/>
        <v>2.76E-2</v>
      </c>
      <c r="P606" s="2">
        <f t="shared" si="141"/>
        <v>19.872</v>
      </c>
      <c r="Q606" s="7">
        <f t="shared" si="142"/>
        <v>90</v>
      </c>
      <c r="R606" s="2">
        <v>1.2</v>
      </c>
      <c r="S606" s="2">
        <f t="shared" si="137"/>
        <v>4.45</v>
      </c>
      <c r="T606" s="2"/>
      <c r="U606" s="2"/>
      <c r="Y606" s="8">
        <f t="shared" si="138"/>
        <v>3.2039999999999997</v>
      </c>
    </row>
    <row r="607" spans="1:25" x14ac:dyDescent="0.25">
      <c r="A607" s="34">
        <f t="shared" si="146"/>
        <v>599</v>
      </c>
      <c r="B607" s="35"/>
      <c r="C607" s="40" t="s">
        <v>152</v>
      </c>
      <c r="D607" s="35">
        <v>8</v>
      </c>
      <c r="E607" s="35"/>
      <c r="F607" s="36">
        <f>133201/1000000</f>
        <v>0.13320100000000001</v>
      </c>
      <c r="G607" s="36">
        <f t="shared" si="145"/>
        <v>2.6240597000000004E-2</v>
      </c>
      <c r="H607" s="36">
        <f>50784/1000000</f>
        <v>5.0784000000000003E-2</v>
      </c>
      <c r="I607" s="37">
        <f t="shared" si="144"/>
        <v>7.6176000000000004E-3</v>
      </c>
      <c r="J607" s="32">
        <f t="shared" si="136"/>
        <v>0.11299440000000001</v>
      </c>
      <c r="K607" s="33">
        <f t="shared" si="139"/>
        <v>1.6949160000000001E-2</v>
      </c>
      <c r="L607" s="24" t="s">
        <v>16</v>
      </c>
      <c r="O607" s="2">
        <f t="shared" si="140"/>
        <v>2.1160000000000002E-2</v>
      </c>
      <c r="P607" s="2">
        <f t="shared" si="141"/>
        <v>15.235200000000003</v>
      </c>
      <c r="Q607" s="7">
        <f t="shared" si="142"/>
        <v>69.000000000000014</v>
      </c>
      <c r="R607" s="2">
        <v>1.2</v>
      </c>
      <c r="S607" s="2">
        <f t="shared" si="137"/>
        <v>4.45</v>
      </c>
      <c r="T607" s="2"/>
      <c r="U607" s="2"/>
      <c r="Y607" s="8">
        <f t="shared" si="138"/>
        <v>2.4563999999999999</v>
      </c>
    </row>
    <row r="608" spans="1:25" x14ac:dyDescent="0.25">
      <c r="A608" s="34">
        <f t="shared" si="146"/>
        <v>600</v>
      </c>
      <c r="B608" s="35" t="e">
        <f>#REF!+1</f>
        <v>#REF!</v>
      </c>
      <c r="C608" s="40" t="s">
        <v>152</v>
      </c>
      <c r="D608" s="41" t="s">
        <v>52</v>
      </c>
      <c r="E608" s="35"/>
      <c r="F608" s="36">
        <v>7.8090000000000007E-2</v>
      </c>
      <c r="G608" s="36">
        <f t="shared" si="145"/>
        <v>1.5383730000000002E-2</v>
      </c>
      <c r="H608" s="36">
        <v>3.0176000000000001E-2</v>
      </c>
      <c r="I608" s="37">
        <f t="shared" si="144"/>
        <v>4.5263999999999999E-3</v>
      </c>
      <c r="J608" s="32">
        <f t="shared" si="136"/>
        <v>6.714160000000001E-2</v>
      </c>
      <c r="K608" s="33">
        <f t="shared" si="139"/>
        <v>1.007124E-2</v>
      </c>
      <c r="L608" s="33"/>
      <c r="O608" s="2">
        <f t="shared" si="140"/>
        <v>1.2573333333333334E-2</v>
      </c>
      <c r="P608" s="2">
        <f t="shared" si="141"/>
        <v>9.0528000000000013</v>
      </c>
      <c r="Q608" s="7">
        <f t="shared" si="142"/>
        <v>41.000000000000007</v>
      </c>
      <c r="R608" s="2">
        <v>1.2</v>
      </c>
      <c r="S608" s="2">
        <f t="shared" si="137"/>
        <v>4.45</v>
      </c>
      <c r="T608" s="2"/>
      <c r="U608" s="2"/>
      <c r="Y608" s="8">
        <f t="shared" si="138"/>
        <v>1.4596000000000002</v>
      </c>
    </row>
    <row r="609" spans="1:25" x14ac:dyDescent="0.25">
      <c r="A609" s="34">
        <f t="shared" si="146"/>
        <v>601</v>
      </c>
      <c r="B609" s="35" t="e">
        <f>B608+1</f>
        <v>#REF!</v>
      </c>
      <c r="C609" s="40" t="s">
        <v>152</v>
      </c>
      <c r="D609" s="41" t="s">
        <v>149</v>
      </c>
      <c r="E609" s="35"/>
      <c r="F609" s="36">
        <v>0.11128</v>
      </c>
      <c r="G609" s="36">
        <f t="shared" si="145"/>
        <v>2.1922160000000003E-2</v>
      </c>
      <c r="H609" s="36">
        <v>4.1216000000000003E-2</v>
      </c>
      <c r="I609" s="37">
        <f t="shared" si="144"/>
        <v>6.1824000000000002E-3</v>
      </c>
      <c r="J609" s="32">
        <f t="shared" si="136"/>
        <v>9.1705600000000012E-2</v>
      </c>
      <c r="K609" s="33">
        <f t="shared" si="139"/>
        <v>1.3755840000000002E-2</v>
      </c>
      <c r="L609" s="33"/>
      <c r="O609" s="2">
        <f t="shared" si="140"/>
        <v>1.7173333333333336E-2</v>
      </c>
      <c r="P609" s="2">
        <f t="shared" si="141"/>
        <v>12.364800000000002</v>
      </c>
      <c r="Q609" s="7">
        <f t="shared" si="142"/>
        <v>56.000000000000014</v>
      </c>
      <c r="R609" s="2">
        <v>1.2</v>
      </c>
      <c r="S609" s="2">
        <f t="shared" si="137"/>
        <v>4.45</v>
      </c>
      <c r="T609" s="2"/>
      <c r="U609" s="2"/>
      <c r="Y609" s="8">
        <f t="shared" si="138"/>
        <v>1.9936000000000003</v>
      </c>
    </row>
    <row r="610" spans="1:25" x14ac:dyDescent="0.25">
      <c r="A610" s="34">
        <f t="shared" si="146"/>
        <v>602</v>
      </c>
      <c r="B610" s="35" t="e">
        <f>B609+1</f>
        <v>#REF!</v>
      </c>
      <c r="C610" s="40" t="s">
        <v>152</v>
      </c>
      <c r="D610" s="41" t="s">
        <v>90</v>
      </c>
      <c r="E610" s="35"/>
      <c r="F610" s="46">
        <v>6.0329000000000001E-2</v>
      </c>
      <c r="G610" s="46">
        <v>1.1884813000000001E-2</v>
      </c>
      <c r="H610" s="46">
        <v>1.7663999999999999E-2</v>
      </c>
      <c r="I610" s="47">
        <v>2.6495999999999998E-3</v>
      </c>
      <c r="J610" s="32">
        <f t="shared" si="136"/>
        <v>3.9302400000000001E-2</v>
      </c>
      <c r="K610" s="33">
        <f t="shared" si="139"/>
        <v>5.8953599999999997E-3</v>
      </c>
      <c r="L610" s="33"/>
      <c r="O610" s="2">
        <f t="shared" si="140"/>
        <v>7.3600000000000002E-3</v>
      </c>
      <c r="P610" s="2">
        <f t="shared" si="141"/>
        <v>5.2992000000000008</v>
      </c>
      <c r="Q610" s="7">
        <f t="shared" si="142"/>
        <v>24.000000000000004</v>
      </c>
      <c r="R610" s="2">
        <v>1.2</v>
      </c>
      <c r="S610" s="2">
        <f t="shared" si="137"/>
        <v>4.45</v>
      </c>
      <c r="T610" s="2"/>
      <c r="U610" s="2"/>
      <c r="Y610" s="8">
        <f t="shared" si="138"/>
        <v>0.85440000000000005</v>
      </c>
    </row>
    <row r="611" spans="1:25" ht="30" x14ac:dyDescent="0.25">
      <c r="A611" s="34">
        <f t="shared" si="146"/>
        <v>603</v>
      </c>
      <c r="B611" s="35" t="e">
        <f t="shared" si="146"/>
        <v>#REF!</v>
      </c>
      <c r="C611" s="40" t="s">
        <v>152</v>
      </c>
      <c r="D611" s="41" t="s">
        <v>160</v>
      </c>
      <c r="E611" s="35"/>
      <c r="F611" s="36">
        <v>0.1968</v>
      </c>
      <c r="G611" s="36">
        <v>3.8800000000000001E-2</v>
      </c>
      <c r="H611" s="36">
        <v>2.1000000000000001E-2</v>
      </c>
      <c r="I611" s="37">
        <v>3.0999999999999999E-3</v>
      </c>
      <c r="J611" s="32">
        <f t="shared" si="136"/>
        <v>4.6725000000000003E-2</v>
      </c>
      <c r="K611" s="33">
        <f t="shared" si="139"/>
        <v>7.0087500000000002E-3</v>
      </c>
      <c r="L611" s="33"/>
      <c r="O611" s="2">
        <f t="shared" si="140"/>
        <v>8.7500000000000008E-3</v>
      </c>
      <c r="P611" s="2">
        <f t="shared" si="141"/>
        <v>6.3000000000000007</v>
      </c>
      <c r="Q611" s="7">
        <f t="shared" si="142"/>
        <v>28.532608695652179</v>
      </c>
      <c r="R611" s="2">
        <v>1.2</v>
      </c>
      <c r="S611" s="2">
        <f t="shared" si="137"/>
        <v>4.45</v>
      </c>
      <c r="T611" s="2"/>
      <c r="U611" s="2"/>
      <c r="Y611" s="8">
        <f t="shared" si="138"/>
        <v>1.0157608695652174</v>
      </c>
    </row>
    <row r="612" spans="1:25" ht="30" x14ac:dyDescent="0.25">
      <c r="A612" s="34">
        <f t="shared" si="146"/>
        <v>604</v>
      </c>
      <c r="B612" s="35" t="e">
        <f t="shared" si="146"/>
        <v>#REF!</v>
      </c>
      <c r="C612" s="40" t="s">
        <v>152</v>
      </c>
      <c r="D612" s="41" t="s">
        <v>161</v>
      </c>
      <c r="E612" s="35"/>
      <c r="F612" s="36">
        <v>0.19700000000000001</v>
      </c>
      <c r="G612" s="36">
        <f>F612*0.197</f>
        <v>3.8809000000000003E-2</v>
      </c>
      <c r="H612" s="36">
        <v>2.3552E-2</v>
      </c>
      <c r="I612" s="37">
        <f>H612*0.15</f>
        <v>3.5328E-3</v>
      </c>
      <c r="J612" s="32">
        <f t="shared" si="136"/>
        <v>5.2403200000000004E-2</v>
      </c>
      <c r="K612" s="33">
        <f t="shared" si="139"/>
        <v>7.8604799999999996E-3</v>
      </c>
      <c r="L612" s="33"/>
      <c r="O612" s="2">
        <f t="shared" si="140"/>
        <v>9.8133333333333336E-3</v>
      </c>
      <c r="P612" s="2">
        <f t="shared" si="141"/>
        <v>7.0655999999999999</v>
      </c>
      <c r="Q612" s="7">
        <f t="shared" si="142"/>
        <v>32</v>
      </c>
      <c r="R612" s="2">
        <v>1.2</v>
      </c>
      <c r="S612" s="2">
        <f t="shared" si="137"/>
        <v>4.45</v>
      </c>
      <c r="T612" s="2"/>
      <c r="U612" s="2"/>
      <c r="Y612" s="8">
        <f t="shared" si="138"/>
        <v>1.1392000000000002</v>
      </c>
    </row>
    <row r="613" spans="1:25" x14ac:dyDescent="0.25">
      <c r="A613" s="34">
        <f t="shared" si="146"/>
        <v>605</v>
      </c>
      <c r="B613" s="35" t="e">
        <f t="shared" si="146"/>
        <v>#REF!</v>
      </c>
      <c r="C613" s="40" t="s">
        <v>152</v>
      </c>
      <c r="D613" s="41" t="s">
        <v>162</v>
      </c>
      <c r="E613" s="35"/>
      <c r="F613" s="46">
        <v>4.1744589999999998E-2</v>
      </c>
      <c r="G613" s="46">
        <v>8.2236842300000002E-3</v>
      </c>
      <c r="H613" s="46">
        <v>4.4159999999999998E-3</v>
      </c>
      <c r="I613" s="47">
        <v>6.6239999999999995E-4</v>
      </c>
      <c r="J613" s="32">
        <f t="shared" si="136"/>
        <v>9.8256000000000003E-3</v>
      </c>
      <c r="K613" s="33">
        <f t="shared" si="139"/>
        <v>1.4738399999999999E-3</v>
      </c>
      <c r="L613" s="33"/>
      <c r="O613" s="2">
        <f t="shared" si="140"/>
        <v>1.8400000000000001E-3</v>
      </c>
      <c r="P613" s="2">
        <f t="shared" si="141"/>
        <v>1.3248000000000002</v>
      </c>
      <c r="Q613" s="7">
        <f t="shared" si="142"/>
        <v>6.0000000000000009</v>
      </c>
      <c r="R613" s="2">
        <v>1.2</v>
      </c>
      <c r="S613" s="2">
        <f t="shared" si="137"/>
        <v>4.45</v>
      </c>
      <c r="T613" s="2"/>
      <c r="U613" s="2"/>
      <c r="Y613" s="8">
        <f t="shared" si="138"/>
        <v>0.21360000000000001</v>
      </c>
    </row>
    <row r="614" spans="1:25" x14ac:dyDescent="0.25">
      <c r="A614" s="34">
        <f t="shared" si="146"/>
        <v>606</v>
      </c>
      <c r="B614" s="35" t="e">
        <f t="shared" si="146"/>
        <v>#REF!</v>
      </c>
      <c r="C614" s="40" t="s">
        <v>152</v>
      </c>
      <c r="D614" s="41" t="s">
        <v>163</v>
      </c>
      <c r="E614" s="35"/>
      <c r="F614" s="46">
        <v>0.116081</v>
      </c>
      <c r="G614" s="46">
        <v>2.2867957000000001E-2</v>
      </c>
      <c r="H614" s="46">
        <v>5.4463999999999999E-2</v>
      </c>
      <c r="I614" s="47">
        <v>8.1695999999999991E-3</v>
      </c>
      <c r="J614" s="32">
        <f t="shared" si="136"/>
        <v>0.1211824</v>
      </c>
      <c r="K614" s="33">
        <f t="shared" si="139"/>
        <v>1.817736E-2</v>
      </c>
      <c r="L614" s="33"/>
      <c r="O614" s="2">
        <f t="shared" si="140"/>
        <v>2.2693333333333333E-2</v>
      </c>
      <c r="P614" s="2">
        <f t="shared" si="141"/>
        <v>16.339200000000002</v>
      </c>
      <c r="Q614" s="7">
        <f t="shared" si="142"/>
        <v>74.000000000000014</v>
      </c>
      <c r="R614" s="2">
        <v>1.2</v>
      </c>
      <c r="S614" s="2">
        <f t="shared" si="137"/>
        <v>4.45</v>
      </c>
      <c r="T614" s="2"/>
      <c r="U614" s="2"/>
      <c r="Y614" s="8">
        <f t="shared" si="138"/>
        <v>2.6343999999999999</v>
      </c>
    </row>
    <row r="615" spans="1:25" x14ac:dyDescent="0.25">
      <c r="A615" s="34">
        <f t="shared" si="146"/>
        <v>607</v>
      </c>
      <c r="B615" s="35" t="e">
        <f t="shared" si="146"/>
        <v>#REF!</v>
      </c>
      <c r="C615" s="40" t="s">
        <v>152</v>
      </c>
      <c r="D615" s="41" t="s">
        <v>164</v>
      </c>
      <c r="E615" s="35"/>
      <c r="F615" s="46">
        <v>0.12590199999999999</v>
      </c>
      <c r="G615" s="46">
        <v>2.4802693999999997E-2</v>
      </c>
      <c r="H615" s="46">
        <v>5.2255999999999997E-2</v>
      </c>
      <c r="I615" s="47">
        <v>7.8383999999999988E-3</v>
      </c>
      <c r="J615" s="32">
        <f t="shared" si="136"/>
        <v>0.1162696</v>
      </c>
      <c r="K615" s="33">
        <f t="shared" si="139"/>
        <v>1.7440439999999998E-2</v>
      </c>
      <c r="L615" s="33"/>
      <c r="O615" s="2">
        <f t="shared" si="140"/>
        <v>2.1773333333333332E-2</v>
      </c>
      <c r="P615" s="2">
        <f t="shared" si="141"/>
        <v>15.676799999999997</v>
      </c>
      <c r="Q615" s="7">
        <f t="shared" si="142"/>
        <v>70.999999999999986</v>
      </c>
      <c r="R615" s="2">
        <v>1.2</v>
      </c>
      <c r="S615" s="2">
        <f t="shared" si="137"/>
        <v>4.45</v>
      </c>
      <c r="T615" s="2"/>
      <c r="U615" s="2"/>
      <c r="Y615" s="8">
        <f t="shared" si="138"/>
        <v>2.5276000000000001</v>
      </c>
    </row>
    <row r="616" spans="1:25" x14ac:dyDescent="0.25">
      <c r="A616" s="34">
        <f t="shared" si="146"/>
        <v>608</v>
      </c>
      <c r="B616" s="35" t="e">
        <f t="shared" si="146"/>
        <v>#REF!</v>
      </c>
      <c r="C616" s="40" t="s">
        <v>152</v>
      </c>
      <c r="D616" s="41" t="s">
        <v>165</v>
      </c>
      <c r="E616" s="35"/>
      <c r="F616" s="36">
        <v>0.12590000000000001</v>
      </c>
      <c r="G616" s="36">
        <f>F616*0.197</f>
        <v>2.4802300000000003E-2</v>
      </c>
      <c r="H616" s="36">
        <v>6.8447999999999995E-2</v>
      </c>
      <c r="I616" s="37">
        <f>H616*0.15</f>
        <v>1.0267199999999999E-2</v>
      </c>
      <c r="J616" s="32">
        <f t="shared" si="136"/>
        <v>0.15229679999999998</v>
      </c>
      <c r="K616" s="33">
        <f t="shared" si="139"/>
        <v>2.2844519999999997E-2</v>
      </c>
      <c r="L616" s="33"/>
      <c r="O616" s="2">
        <f t="shared" si="140"/>
        <v>2.852E-2</v>
      </c>
      <c r="P616" s="2">
        <f t="shared" si="141"/>
        <v>20.534399999999998</v>
      </c>
      <c r="Q616" s="7">
        <f t="shared" si="142"/>
        <v>92.999999999999986</v>
      </c>
      <c r="R616" s="2">
        <v>1.2</v>
      </c>
      <c r="S616" s="2">
        <f t="shared" si="137"/>
        <v>4.45</v>
      </c>
      <c r="T616" s="2"/>
      <c r="U616" s="2"/>
      <c r="Y616" s="8">
        <f t="shared" si="138"/>
        <v>3.3107999999999995</v>
      </c>
    </row>
    <row r="617" spans="1:25" x14ac:dyDescent="0.25">
      <c r="A617" s="34">
        <f t="shared" si="146"/>
        <v>609</v>
      </c>
      <c r="B617" s="35" t="e">
        <f t="shared" si="146"/>
        <v>#REF!</v>
      </c>
      <c r="C617" s="40" t="s">
        <v>152</v>
      </c>
      <c r="D617" s="41" t="s">
        <v>166</v>
      </c>
      <c r="E617" s="35"/>
      <c r="F617" s="46">
        <v>0.14102400000000001</v>
      </c>
      <c r="G617" s="46">
        <v>2.7781728000000002E-2</v>
      </c>
      <c r="H617" s="46">
        <v>5.5936E-2</v>
      </c>
      <c r="I617" s="47">
        <v>8.3903999999999992E-3</v>
      </c>
      <c r="J617" s="32">
        <f t="shared" si="136"/>
        <v>0.1244576</v>
      </c>
      <c r="K617" s="33">
        <f t="shared" si="139"/>
        <v>1.866864E-2</v>
      </c>
      <c r="L617" s="33"/>
      <c r="O617" s="2">
        <f t="shared" si="140"/>
        <v>2.3306666666666667E-2</v>
      </c>
      <c r="P617" s="2">
        <f t="shared" si="141"/>
        <v>16.780799999999999</v>
      </c>
      <c r="Q617" s="7">
        <f t="shared" si="142"/>
        <v>76</v>
      </c>
      <c r="R617" s="2">
        <v>1.2</v>
      </c>
      <c r="S617" s="2">
        <f t="shared" si="137"/>
        <v>4.45</v>
      </c>
      <c r="T617" s="2"/>
      <c r="U617" s="2"/>
      <c r="Y617" s="8">
        <f t="shared" si="138"/>
        <v>2.7056</v>
      </c>
    </row>
    <row r="618" spans="1:25" x14ac:dyDescent="0.25">
      <c r="A618" s="34">
        <f t="shared" si="146"/>
        <v>610</v>
      </c>
      <c r="B618" s="35" t="e">
        <f t="shared" si="146"/>
        <v>#REF!</v>
      </c>
      <c r="C618" s="40" t="s">
        <v>152</v>
      </c>
      <c r="D618" s="41" t="s">
        <v>167</v>
      </c>
      <c r="E618" s="35"/>
      <c r="F618" s="46">
        <v>0.15112200000000001</v>
      </c>
      <c r="G618" s="46">
        <v>2.9771034000000002E-2</v>
      </c>
      <c r="H618" s="46">
        <v>6.4032000000000006E-2</v>
      </c>
      <c r="I618" s="47">
        <v>9.6048000000000001E-3</v>
      </c>
      <c r="J618" s="32">
        <f t="shared" si="136"/>
        <v>0.14247120000000002</v>
      </c>
      <c r="K618" s="33">
        <f t="shared" si="139"/>
        <v>2.1370680000000003E-2</v>
      </c>
      <c r="L618" s="33"/>
      <c r="O618" s="2">
        <f t="shared" si="140"/>
        <v>2.6680000000000002E-2</v>
      </c>
      <c r="P618" s="2">
        <f t="shared" si="141"/>
        <v>19.209600000000002</v>
      </c>
      <c r="Q618" s="7">
        <f t="shared" si="142"/>
        <v>87.000000000000014</v>
      </c>
      <c r="R618" s="2">
        <v>1.2</v>
      </c>
      <c r="S618" s="2">
        <f t="shared" si="137"/>
        <v>4.45</v>
      </c>
      <c r="T618" s="2"/>
      <c r="U618" s="2"/>
      <c r="Y618" s="8">
        <f t="shared" si="138"/>
        <v>3.0972000000000004</v>
      </c>
    </row>
    <row r="619" spans="1:25" x14ac:dyDescent="0.25">
      <c r="A619" s="34">
        <f t="shared" si="146"/>
        <v>611</v>
      </c>
      <c r="B619" s="35" t="e">
        <f t="shared" si="146"/>
        <v>#REF!</v>
      </c>
      <c r="C619" s="40" t="s">
        <v>152</v>
      </c>
      <c r="D619" s="41" t="s">
        <v>168</v>
      </c>
      <c r="E619" s="35"/>
      <c r="F619" s="46">
        <v>0.11962399999999999</v>
      </c>
      <c r="G619" s="46">
        <v>2.3565928E-2</v>
      </c>
      <c r="H619" s="46">
        <v>5.0784000000000003E-2</v>
      </c>
      <c r="I619" s="47">
        <v>7.6176000000000004E-3</v>
      </c>
      <c r="J619" s="32">
        <f t="shared" si="136"/>
        <v>0.11299440000000001</v>
      </c>
      <c r="K619" s="33">
        <f t="shared" si="139"/>
        <v>1.6949160000000001E-2</v>
      </c>
      <c r="L619" s="33"/>
      <c r="O619" s="2">
        <f t="shared" si="140"/>
        <v>2.1160000000000002E-2</v>
      </c>
      <c r="P619" s="2">
        <f t="shared" si="141"/>
        <v>15.235200000000003</v>
      </c>
      <c r="Q619" s="7">
        <f t="shared" si="142"/>
        <v>69.000000000000014</v>
      </c>
      <c r="R619" s="2">
        <v>1.2</v>
      </c>
      <c r="S619" s="2">
        <f t="shared" si="137"/>
        <v>4.45</v>
      </c>
      <c r="T619" s="2"/>
      <c r="U619" s="2"/>
      <c r="Y619" s="8">
        <f t="shared" si="138"/>
        <v>2.4563999999999999</v>
      </c>
    </row>
    <row r="620" spans="1:25" x14ac:dyDescent="0.25">
      <c r="A620" s="34">
        <f t="shared" ref="A620:B635" si="147">A619+1</f>
        <v>612</v>
      </c>
      <c r="B620" s="35" t="e">
        <f t="shared" si="147"/>
        <v>#REF!</v>
      </c>
      <c r="C620" s="40" t="s">
        <v>169</v>
      </c>
      <c r="D620" s="41" t="s">
        <v>170</v>
      </c>
      <c r="E620" s="35"/>
      <c r="F620" s="36">
        <f>246582/1000000</f>
        <v>0.246582</v>
      </c>
      <c r="G620" s="36">
        <f t="shared" ref="G620:G633" si="148">F620*0.197</f>
        <v>4.8576654000000004E-2</v>
      </c>
      <c r="H620" s="36">
        <f>59040/1000000</f>
        <v>5.9040000000000002E-2</v>
      </c>
      <c r="I620" s="37">
        <f t="shared" ref="I620:I633" si="149">H620*0.15</f>
        <v>8.8559999999999993E-3</v>
      </c>
      <c r="J620" s="32">
        <f t="shared" si="136"/>
        <v>0.13136400000000001</v>
      </c>
      <c r="K620" s="33">
        <f t="shared" si="139"/>
        <v>1.9704599999999999E-2</v>
      </c>
      <c r="L620" s="33"/>
      <c r="O620" s="2">
        <f t="shared" si="140"/>
        <v>2.46E-2</v>
      </c>
      <c r="P620" s="2">
        <f t="shared" si="141"/>
        <v>17.712</v>
      </c>
      <c r="Q620" s="7">
        <f t="shared" si="142"/>
        <v>80.217391304347828</v>
      </c>
      <c r="R620" s="2">
        <v>1.2</v>
      </c>
      <c r="S620" s="2">
        <f t="shared" si="137"/>
        <v>4.45</v>
      </c>
      <c r="T620" s="2"/>
      <c r="U620" s="2"/>
      <c r="Y620" s="8">
        <f t="shared" si="138"/>
        <v>2.8557391304347828</v>
      </c>
    </row>
    <row r="621" spans="1:25" x14ac:dyDescent="0.25">
      <c r="A621" s="34">
        <f t="shared" si="147"/>
        <v>613</v>
      </c>
      <c r="B621" s="35" t="e">
        <f t="shared" si="147"/>
        <v>#REF!</v>
      </c>
      <c r="C621" s="40" t="s">
        <v>169</v>
      </c>
      <c r="D621" s="41" t="s">
        <v>43</v>
      </c>
      <c r="E621" s="35"/>
      <c r="F621" s="36">
        <f>213195/1000000</f>
        <v>0.213195</v>
      </c>
      <c r="G621" s="36">
        <f t="shared" si="148"/>
        <v>4.1999414999999998E-2</v>
      </c>
      <c r="H621" s="36">
        <f>62561/1000000</f>
        <v>6.2561000000000005E-2</v>
      </c>
      <c r="I621" s="37">
        <f t="shared" si="149"/>
        <v>9.3841500000000008E-3</v>
      </c>
      <c r="J621" s="32">
        <f t="shared" si="136"/>
        <v>0.13919822500000001</v>
      </c>
      <c r="K621" s="33">
        <f t="shared" si="139"/>
        <v>2.0879733750000001E-2</v>
      </c>
      <c r="L621" s="33"/>
      <c r="O621" s="2">
        <f t="shared" si="140"/>
        <v>2.6067083333333338E-2</v>
      </c>
      <c r="P621" s="2">
        <f t="shared" si="141"/>
        <v>18.768300000000004</v>
      </c>
      <c r="Q621" s="7">
        <f t="shared" si="142"/>
        <v>85.001358695652186</v>
      </c>
      <c r="R621" s="2">
        <v>1.2</v>
      </c>
      <c r="S621" s="2">
        <f t="shared" si="137"/>
        <v>4.45</v>
      </c>
      <c r="T621" s="2"/>
      <c r="U621" s="2"/>
      <c r="Y621" s="8">
        <f t="shared" si="138"/>
        <v>3.0260483695652178</v>
      </c>
    </row>
    <row r="622" spans="1:25" x14ac:dyDescent="0.25">
      <c r="A622" s="34">
        <f t="shared" si="147"/>
        <v>614</v>
      </c>
      <c r="B622" s="35" t="e">
        <f t="shared" si="147"/>
        <v>#REF!</v>
      </c>
      <c r="C622" s="40" t="s">
        <v>169</v>
      </c>
      <c r="D622" s="41" t="s">
        <v>47</v>
      </c>
      <c r="E622" s="35">
        <v>1</v>
      </c>
      <c r="F622" s="36">
        <f>458526/1000000/2</f>
        <v>0.22926299999999999</v>
      </c>
      <c r="G622" s="36">
        <f t="shared" si="148"/>
        <v>4.5164810999999999E-2</v>
      </c>
      <c r="H622" s="36">
        <f>155297/1000000/2</f>
        <v>7.7648499999999995E-2</v>
      </c>
      <c r="I622" s="37">
        <f t="shared" si="149"/>
        <v>1.1647274999999999E-2</v>
      </c>
      <c r="J622" s="32">
        <f t="shared" si="136"/>
        <v>0.17276791250000001</v>
      </c>
      <c r="K622" s="33">
        <f t="shared" si="139"/>
        <v>2.5915186874999999E-2</v>
      </c>
      <c r="L622" s="33"/>
      <c r="O622" s="2">
        <f t="shared" si="140"/>
        <v>3.2353541666666666E-2</v>
      </c>
      <c r="P622" s="2">
        <f t="shared" si="141"/>
        <v>23.294550000000001</v>
      </c>
      <c r="Q622" s="7">
        <f t="shared" si="142"/>
        <v>105.50067934782609</v>
      </c>
      <c r="R622" s="2">
        <v>1.2</v>
      </c>
      <c r="S622" s="2">
        <f t="shared" si="137"/>
        <v>4.45</v>
      </c>
      <c r="T622" s="2"/>
      <c r="U622" s="2"/>
      <c r="Y622" s="8">
        <f t="shared" si="138"/>
        <v>3.7558241847826088</v>
      </c>
    </row>
    <row r="623" spans="1:25" x14ac:dyDescent="0.25">
      <c r="A623" s="34">
        <f t="shared" si="147"/>
        <v>615</v>
      </c>
      <c r="B623" s="35" t="e">
        <f t="shared" si="147"/>
        <v>#REF!</v>
      </c>
      <c r="C623" s="40" t="s">
        <v>169</v>
      </c>
      <c r="D623" s="41" t="s">
        <v>47</v>
      </c>
      <c r="E623" s="35">
        <v>2</v>
      </c>
      <c r="F623" s="36">
        <f>458526/1000000/2</f>
        <v>0.22926299999999999</v>
      </c>
      <c r="G623" s="36">
        <f t="shared" si="148"/>
        <v>4.5164810999999999E-2</v>
      </c>
      <c r="H623" s="36">
        <f>155297/1000000/2</f>
        <v>7.7648499999999995E-2</v>
      </c>
      <c r="I623" s="37">
        <f t="shared" si="149"/>
        <v>1.1647274999999999E-2</v>
      </c>
      <c r="J623" s="32">
        <f t="shared" si="136"/>
        <v>0.17276791250000001</v>
      </c>
      <c r="K623" s="33">
        <f t="shared" si="139"/>
        <v>2.5915186874999999E-2</v>
      </c>
      <c r="L623" s="33"/>
      <c r="O623" s="2">
        <f t="shared" si="140"/>
        <v>3.2353541666666666E-2</v>
      </c>
      <c r="P623" s="2">
        <f t="shared" si="141"/>
        <v>23.294550000000001</v>
      </c>
      <c r="Q623" s="7">
        <f t="shared" si="142"/>
        <v>105.50067934782609</v>
      </c>
      <c r="R623" s="2">
        <v>1.2</v>
      </c>
      <c r="S623" s="2">
        <f t="shared" si="137"/>
        <v>4.45</v>
      </c>
      <c r="T623" s="2"/>
      <c r="U623" s="2"/>
      <c r="Y623" s="8">
        <f t="shared" si="138"/>
        <v>3.7558241847826088</v>
      </c>
    </row>
    <row r="624" spans="1:25" x14ac:dyDescent="0.25">
      <c r="A624" s="34">
        <f t="shared" si="147"/>
        <v>616</v>
      </c>
      <c r="B624" s="35" t="e">
        <f t="shared" si="147"/>
        <v>#REF!</v>
      </c>
      <c r="C624" s="40" t="s">
        <v>171</v>
      </c>
      <c r="D624" s="41" t="s">
        <v>94</v>
      </c>
      <c r="E624" s="35"/>
      <c r="F624" s="36">
        <f>147088/1000000</f>
        <v>0.147088</v>
      </c>
      <c r="G624" s="36">
        <f t="shared" si="148"/>
        <v>2.8976336000000002E-2</v>
      </c>
      <c r="H624" s="36">
        <f>75010/1000000</f>
        <v>7.5009999999999993E-2</v>
      </c>
      <c r="I624" s="37">
        <f t="shared" si="149"/>
        <v>1.1251499999999999E-2</v>
      </c>
      <c r="J624" s="32">
        <f t="shared" si="136"/>
        <v>0.16689725</v>
      </c>
      <c r="K624" s="33">
        <f t="shared" si="139"/>
        <v>2.50345875E-2</v>
      </c>
      <c r="L624" s="33"/>
      <c r="O624" s="2">
        <f t="shared" si="140"/>
        <v>3.1254166666666666E-2</v>
      </c>
      <c r="P624" s="2">
        <f t="shared" si="141"/>
        <v>22.503</v>
      </c>
      <c r="Q624" s="7">
        <f t="shared" si="142"/>
        <v>101.91576086956522</v>
      </c>
      <c r="R624" s="2">
        <v>1.2</v>
      </c>
      <c r="S624" s="2">
        <f t="shared" si="137"/>
        <v>4.45</v>
      </c>
      <c r="T624" s="2"/>
      <c r="U624" s="2"/>
      <c r="Y624" s="8">
        <f t="shared" si="138"/>
        <v>3.6282010869565218</v>
      </c>
    </row>
    <row r="625" spans="1:25" x14ac:dyDescent="0.25">
      <c r="A625" s="34">
        <f t="shared" si="147"/>
        <v>617</v>
      </c>
      <c r="B625" s="35" t="e">
        <f t="shared" si="147"/>
        <v>#REF!</v>
      </c>
      <c r="C625" s="40" t="s">
        <v>171</v>
      </c>
      <c r="D625" s="41" t="s">
        <v>62</v>
      </c>
      <c r="E625" s="35"/>
      <c r="F625" s="36">
        <f>153373/1000000</f>
        <v>0.15337300000000001</v>
      </c>
      <c r="G625" s="36">
        <f t="shared" si="148"/>
        <v>3.0214481000000005E-2</v>
      </c>
      <c r="H625" s="36">
        <f>91260/1000000</f>
        <v>9.1259999999999994E-2</v>
      </c>
      <c r="I625" s="37">
        <f t="shared" si="149"/>
        <v>1.3688999999999998E-2</v>
      </c>
      <c r="J625" s="32">
        <f t="shared" si="136"/>
        <v>0.2030535</v>
      </c>
      <c r="K625" s="33">
        <f t="shared" si="139"/>
        <v>3.0458025E-2</v>
      </c>
      <c r="L625" s="33"/>
      <c r="O625" s="2">
        <f t="shared" si="140"/>
        <v>3.8024999999999996E-2</v>
      </c>
      <c r="P625" s="2">
        <f t="shared" si="141"/>
        <v>27.377999999999997</v>
      </c>
      <c r="Q625" s="7">
        <f t="shared" si="142"/>
        <v>123.9945652173913</v>
      </c>
      <c r="R625" s="2">
        <v>1.2</v>
      </c>
      <c r="S625" s="2">
        <f t="shared" si="137"/>
        <v>4.45</v>
      </c>
      <c r="T625" s="2"/>
      <c r="U625" s="2"/>
      <c r="Y625" s="8">
        <f t="shared" si="138"/>
        <v>4.4142065217391302</v>
      </c>
    </row>
    <row r="626" spans="1:25" x14ac:dyDescent="0.25">
      <c r="A626" s="34">
        <f t="shared" si="147"/>
        <v>618</v>
      </c>
      <c r="B626" s="35" t="e">
        <f t="shared" si="147"/>
        <v>#REF!</v>
      </c>
      <c r="C626" s="40" t="s">
        <v>171</v>
      </c>
      <c r="D626" s="41" t="s">
        <v>42</v>
      </c>
      <c r="E626" s="35"/>
      <c r="F626" s="36">
        <f>214210/1000000</f>
        <v>0.21421000000000001</v>
      </c>
      <c r="G626" s="36">
        <f t="shared" si="148"/>
        <v>4.2199370000000007E-2</v>
      </c>
      <c r="H626" s="36">
        <f>72127/1000000</f>
        <v>7.2126999999999997E-2</v>
      </c>
      <c r="I626" s="37">
        <f t="shared" si="149"/>
        <v>1.0819049999999998E-2</v>
      </c>
      <c r="J626" s="32">
        <f t="shared" si="136"/>
        <v>0.16048257499999999</v>
      </c>
      <c r="K626" s="33">
        <f t="shared" si="139"/>
        <v>2.4072386249999998E-2</v>
      </c>
      <c r="L626" s="33"/>
      <c r="O626" s="2">
        <f t="shared" si="140"/>
        <v>3.0052916666666665E-2</v>
      </c>
      <c r="P626" s="2">
        <f t="shared" si="141"/>
        <v>21.638099999999998</v>
      </c>
      <c r="Q626" s="7">
        <f t="shared" si="142"/>
        <v>97.998641304347814</v>
      </c>
      <c r="R626" s="2">
        <v>1.2</v>
      </c>
      <c r="S626" s="2">
        <f t="shared" si="137"/>
        <v>4.45</v>
      </c>
      <c r="T626" s="2"/>
      <c r="U626" s="2"/>
      <c r="Y626" s="8">
        <f t="shared" si="138"/>
        <v>3.4887516304347823</v>
      </c>
    </row>
    <row r="627" spans="1:25" x14ac:dyDescent="0.25">
      <c r="A627" s="34">
        <f t="shared" si="147"/>
        <v>619</v>
      </c>
      <c r="B627" s="35" t="e">
        <f t="shared" si="147"/>
        <v>#REF!</v>
      </c>
      <c r="C627" s="40" t="s">
        <v>171</v>
      </c>
      <c r="D627" s="41" t="s">
        <v>81</v>
      </c>
      <c r="E627" s="35">
        <v>1</v>
      </c>
      <c r="F627" s="36">
        <f>316376/1000000/2</f>
        <v>0.158188</v>
      </c>
      <c r="G627" s="36">
        <f t="shared" si="148"/>
        <v>3.1163036000000002E-2</v>
      </c>
      <c r="H627" s="36">
        <f>155297/1000000/2</f>
        <v>7.7648499999999995E-2</v>
      </c>
      <c r="I627" s="37">
        <f t="shared" si="149"/>
        <v>1.1647274999999999E-2</v>
      </c>
      <c r="J627" s="32">
        <f t="shared" si="136"/>
        <v>0.17276791250000001</v>
      </c>
      <c r="K627" s="33">
        <f t="shared" si="139"/>
        <v>2.5915186874999999E-2</v>
      </c>
      <c r="L627" s="33"/>
      <c r="O627" s="2">
        <f t="shared" si="140"/>
        <v>3.2353541666666666E-2</v>
      </c>
      <c r="P627" s="2">
        <f t="shared" si="141"/>
        <v>23.294550000000001</v>
      </c>
      <c r="Q627" s="7">
        <f t="shared" si="142"/>
        <v>105.50067934782609</v>
      </c>
      <c r="R627" s="2">
        <v>1.2</v>
      </c>
      <c r="S627" s="2">
        <f t="shared" si="137"/>
        <v>4.45</v>
      </c>
      <c r="T627" s="2"/>
      <c r="U627" s="2"/>
      <c r="Y627" s="8">
        <f t="shared" si="138"/>
        <v>3.7558241847826088</v>
      </c>
    </row>
    <row r="628" spans="1:25" x14ac:dyDescent="0.25">
      <c r="A628" s="34">
        <f t="shared" si="147"/>
        <v>620</v>
      </c>
      <c r="B628" s="35" t="e">
        <f t="shared" si="147"/>
        <v>#REF!</v>
      </c>
      <c r="C628" s="40" t="s">
        <v>171</v>
      </c>
      <c r="D628" s="41" t="s">
        <v>81</v>
      </c>
      <c r="E628" s="35">
        <v>2</v>
      </c>
      <c r="F628" s="36">
        <f>316376/1000000/2</f>
        <v>0.158188</v>
      </c>
      <c r="G628" s="36">
        <f t="shared" si="148"/>
        <v>3.1163036000000002E-2</v>
      </c>
      <c r="H628" s="36">
        <f>155297/1000000/2</f>
        <v>7.7648499999999995E-2</v>
      </c>
      <c r="I628" s="37">
        <f t="shared" si="149"/>
        <v>1.1647274999999999E-2</v>
      </c>
      <c r="J628" s="32">
        <f t="shared" si="136"/>
        <v>0.17276791250000001</v>
      </c>
      <c r="K628" s="33">
        <f t="shared" si="139"/>
        <v>2.5915186874999999E-2</v>
      </c>
      <c r="L628" s="33"/>
      <c r="O628" s="2">
        <f t="shared" si="140"/>
        <v>3.2353541666666666E-2</v>
      </c>
      <c r="P628" s="2">
        <f t="shared" si="141"/>
        <v>23.294550000000001</v>
      </c>
      <c r="Q628" s="7">
        <f t="shared" si="142"/>
        <v>105.50067934782609</v>
      </c>
      <c r="R628" s="2">
        <v>1.2</v>
      </c>
      <c r="S628" s="2">
        <f t="shared" si="137"/>
        <v>4.45</v>
      </c>
      <c r="T628" s="2"/>
      <c r="U628" s="2"/>
      <c r="Y628" s="8">
        <f t="shared" si="138"/>
        <v>3.7558241847826088</v>
      </c>
    </row>
    <row r="629" spans="1:25" x14ac:dyDescent="0.25">
      <c r="A629" s="34">
        <f t="shared" si="147"/>
        <v>621</v>
      </c>
      <c r="B629" s="35" t="e">
        <f t="shared" si="147"/>
        <v>#REF!</v>
      </c>
      <c r="C629" s="40" t="s">
        <v>172</v>
      </c>
      <c r="D629" s="41" t="s">
        <v>85</v>
      </c>
      <c r="E629" s="35"/>
      <c r="F629" s="36">
        <f>99225/1000000</f>
        <v>9.9224999999999994E-2</v>
      </c>
      <c r="G629" s="36">
        <f t="shared" si="148"/>
        <v>1.9547325000000001E-2</v>
      </c>
      <c r="H629" s="36">
        <f>38273/1000000</f>
        <v>3.8273000000000001E-2</v>
      </c>
      <c r="I629" s="37">
        <f t="shared" si="149"/>
        <v>5.7409499999999999E-3</v>
      </c>
      <c r="J629" s="32">
        <f t="shared" si="136"/>
        <v>8.5157425000000009E-2</v>
      </c>
      <c r="K629" s="33">
        <f t="shared" si="139"/>
        <v>1.2773613750000001E-2</v>
      </c>
      <c r="L629" s="33"/>
      <c r="O629" s="2">
        <f t="shared" si="140"/>
        <v>1.5947083333333334E-2</v>
      </c>
      <c r="P629" s="2">
        <f t="shared" si="141"/>
        <v>11.4819</v>
      </c>
      <c r="Q629" s="7">
        <f t="shared" si="142"/>
        <v>52.001358695652172</v>
      </c>
      <c r="R629" s="2">
        <v>1.2</v>
      </c>
      <c r="S629" s="2">
        <f t="shared" si="137"/>
        <v>4.45</v>
      </c>
      <c r="T629" s="2"/>
      <c r="U629" s="2"/>
      <c r="Y629" s="8">
        <f t="shared" si="138"/>
        <v>1.8512483695652175</v>
      </c>
    </row>
    <row r="630" spans="1:25" x14ac:dyDescent="0.25">
      <c r="A630" s="34">
        <f t="shared" si="147"/>
        <v>622</v>
      </c>
      <c r="B630" s="35" t="e">
        <f t="shared" si="147"/>
        <v>#REF!</v>
      </c>
      <c r="C630" s="40" t="s">
        <v>173</v>
      </c>
      <c r="D630" s="41" t="s">
        <v>170</v>
      </c>
      <c r="E630" s="35">
        <v>1</v>
      </c>
      <c r="F630" s="36">
        <f>238468/1000000/2</f>
        <v>0.11923400000000001</v>
      </c>
      <c r="G630" s="36">
        <f t="shared" si="148"/>
        <v>2.3489098000000003E-2</v>
      </c>
      <c r="H630" s="36">
        <f>146462/1000000/2</f>
        <v>7.3231000000000004E-2</v>
      </c>
      <c r="I630" s="37">
        <f t="shared" si="149"/>
        <v>1.098465E-2</v>
      </c>
      <c r="J630" s="32">
        <f t="shared" si="136"/>
        <v>0.16293897500000001</v>
      </c>
      <c r="K630" s="33">
        <f t="shared" si="139"/>
        <v>2.4440846250000002E-2</v>
      </c>
      <c r="L630" s="33"/>
      <c r="O630" s="2">
        <f t="shared" si="140"/>
        <v>3.0512916666666671E-2</v>
      </c>
      <c r="P630" s="2">
        <f t="shared" si="141"/>
        <v>21.969300000000004</v>
      </c>
      <c r="Q630" s="7">
        <f t="shared" si="142"/>
        <v>99.498641304347842</v>
      </c>
      <c r="R630" s="2">
        <v>1.2</v>
      </c>
      <c r="S630" s="2">
        <f t="shared" si="137"/>
        <v>4.45</v>
      </c>
      <c r="T630" s="2"/>
      <c r="U630" s="2"/>
      <c r="Y630" s="8">
        <f t="shared" si="138"/>
        <v>3.5421516304347826</v>
      </c>
    </row>
    <row r="631" spans="1:25" x14ac:dyDescent="0.25">
      <c r="A631" s="34">
        <f t="shared" si="147"/>
        <v>623</v>
      </c>
      <c r="B631" s="35" t="e">
        <f t="shared" si="147"/>
        <v>#REF!</v>
      </c>
      <c r="C631" s="40" t="s">
        <v>173</v>
      </c>
      <c r="D631" s="41" t="s">
        <v>170</v>
      </c>
      <c r="E631" s="35">
        <v>2</v>
      </c>
      <c r="F631" s="36">
        <f>238468/1000000/2</f>
        <v>0.11923400000000001</v>
      </c>
      <c r="G631" s="36">
        <f t="shared" si="148"/>
        <v>2.3489098000000003E-2</v>
      </c>
      <c r="H631" s="36">
        <f>146462/1000000/2</f>
        <v>7.3231000000000004E-2</v>
      </c>
      <c r="I631" s="37">
        <f t="shared" si="149"/>
        <v>1.098465E-2</v>
      </c>
      <c r="J631" s="32">
        <f t="shared" si="136"/>
        <v>0.16293897500000001</v>
      </c>
      <c r="K631" s="33">
        <f t="shared" si="139"/>
        <v>2.4440846250000002E-2</v>
      </c>
      <c r="L631" s="33"/>
      <c r="O631" s="2">
        <f t="shared" si="140"/>
        <v>3.0512916666666671E-2</v>
      </c>
      <c r="P631" s="2">
        <f t="shared" si="141"/>
        <v>21.969300000000004</v>
      </c>
      <c r="Q631" s="7">
        <f t="shared" si="142"/>
        <v>99.498641304347842</v>
      </c>
      <c r="R631" s="2">
        <v>1.2</v>
      </c>
      <c r="S631" s="2">
        <f t="shared" si="137"/>
        <v>4.45</v>
      </c>
      <c r="T631" s="2"/>
      <c r="U631" s="2"/>
      <c r="Y631" s="8">
        <f t="shared" si="138"/>
        <v>3.5421516304347826</v>
      </c>
    </row>
    <row r="632" spans="1:25" x14ac:dyDescent="0.25">
      <c r="A632" s="34">
        <f t="shared" si="147"/>
        <v>624</v>
      </c>
      <c r="B632" s="35" t="e">
        <f t="shared" si="147"/>
        <v>#REF!</v>
      </c>
      <c r="C632" s="40" t="s">
        <v>173</v>
      </c>
      <c r="D632" s="41" t="s">
        <v>43</v>
      </c>
      <c r="E632" s="35">
        <v>1</v>
      </c>
      <c r="F632" s="36">
        <f>235178/1000000/2</f>
        <v>0.117589</v>
      </c>
      <c r="G632" s="36">
        <f t="shared" si="148"/>
        <v>2.3165033000000002E-2</v>
      </c>
      <c r="H632" s="36">
        <f>84641/1000000</f>
        <v>8.4640999999999994E-2</v>
      </c>
      <c r="I632" s="37">
        <f t="shared" si="149"/>
        <v>1.2696149999999998E-2</v>
      </c>
      <c r="J632" s="32">
        <f t="shared" si="136"/>
        <v>0.18832622499999999</v>
      </c>
      <c r="K632" s="33">
        <f t="shared" si="139"/>
        <v>2.8248933749999997E-2</v>
      </c>
      <c r="L632" s="33"/>
      <c r="O632" s="2">
        <f t="shared" si="140"/>
        <v>3.5267083333333331E-2</v>
      </c>
      <c r="P632" s="2">
        <f t="shared" si="141"/>
        <v>25.392299999999995</v>
      </c>
      <c r="Q632" s="7">
        <f t="shared" si="142"/>
        <v>115.00135869565216</v>
      </c>
      <c r="R632" s="2">
        <v>1.2</v>
      </c>
      <c r="S632" s="2">
        <f t="shared" si="137"/>
        <v>4.45</v>
      </c>
      <c r="T632" s="2"/>
      <c r="U632" s="2"/>
      <c r="Y632" s="8">
        <f t="shared" si="138"/>
        <v>4.0940483695652174</v>
      </c>
    </row>
    <row r="633" spans="1:25" x14ac:dyDescent="0.25">
      <c r="A633" s="34">
        <f t="shared" si="147"/>
        <v>625</v>
      </c>
      <c r="B633" s="35" t="e">
        <f t="shared" si="147"/>
        <v>#REF!</v>
      </c>
      <c r="C633" s="40" t="s">
        <v>173</v>
      </c>
      <c r="D633" s="41" t="s">
        <v>43</v>
      </c>
      <c r="E633" s="35">
        <v>2</v>
      </c>
      <c r="F633" s="36">
        <f>235178/1000000/2</f>
        <v>0.117589</v>
      </c>
      <c r="G633" s="36">
        <f t="shared" si="148"/>
        <v>2.3165033000000002E-2</v>
      </c>
      <c r="H633" s="36">
        <v>0</v>
      </c>
      <c r="I633" s="37">
        <f t="shared" si="149"/>
        <v>0</v>
      </c>
      <c r="J633" s="32">
        <f t="shared" si="136"/>
        <v>0</v>
      </c>
      <c r="K633" s="33">
        <f t="shared" si="139"/>
        <v>0</v>
      </c>
      <c r="L633" s="33"/>
      <c r="O633" s="2">
        <f t="shared" si="140"/>
        <v>0</v>
      </c>
      <c r="P633" s="2">
        <f t="shared" si="141"/>
        <v>0</v>
      </c>
      <c r="Q633" s="7">
        <f t="shared" si="142"/>
        <v>0</v>
      </c>
      <c r="R633" s="2">
        <v>1.2</v>
      </c>
      <c r="S633" s="2">
        <f t="shared" si="137"/>
        <v>4.45</v>
      </c>
      <c r="T633" s="2"/>
      <c r="U633" s="2"/>
      <c r="Y633" s="8">
        <f t="shared" si="138"/>
        <v>0</v>
      </c>
    </row>
    <row r="634" spans="1:25" x14ac:dyDescent="0.25">
      <c r="A634" s="34">
        <f t="shared" si="147"/>
        <v>626</v>
      </c>
      <c r="B634" s="35"/>
      <c r="C634" s="40" t="s">
        <v>173</v>
      </c>
      <c r="D634" s="35">
        <v>7</v>
      </c>
      <c r="E634" s="35"/>
      <c r="F634" s="36">
        <f>113292/1000000</f>
        <v>0.113292</v>
      </c>
      <c r="G634" s="36">
        <f>F634*0.197</f>
        <v>2.2318524000000003E-2</v>
      </c>
      <c r="H634" s="36">
        <f>64766/1000000</f>
        <v>6.4766000000000004E-2</v>
      </c>
      <c r="I634" s="37">
        <f>H634*0.15</f>
        <v>9.7149000000000003E-3</v>
      </c>
      <c r="J634" s="32">
        <f t="shared" si="136"/>
        <v>0.14410435000000002</v>
      </c>
      <c r="K634" s="33">
        <f t="shared" si="139"/>
        <v>2.1615652500000002E-2</v>
      </c>
      <c r="L634" s="33"/>
      <c r="O634" s="2">
        <f t="shared" si="140"/>
        <v>2.6985833333333337E-2</v>
      </c>
      <c r="P634" s="2">
        <f t="shared" si="141"/>
        <v>19.429800000000004</v>
      </c>
      <c r="Q634" s="7">
        <f t="shared" si="142"/>
        <v>87.99728260869567</v>
      </c>
      <c r="R634" s="2">
        <v>1.2</v>
      </c>
      <c r="S634" s="2">
        <f t="shared" si="137"/>
        <v>4.45</v>
      </c>
      <c r="T634" s="2"/>
      <c r="U634" s="2"/>
      <c r="Y634" s="8">
        <f t="shared" si="138"/>
        <v>3.1327032608695657</v>
      </c>
    </row>
    <row r="635" spans="1:25" x14ac:dyDescent="0.25">
      <c r="A635" s="34">
        <f t="shared" si="147"/>
        <v>627</v>
      </c>
      <c r="B635" s="35"/>
      <c r="C635" s="40" t="s">
        <v>173</v>
      </c>
      <c r="D635" s="35">
        <v>12</v>
      </c>
      <c r="E635" s="35"/>
      <c r="F635" s="36">
        <f>155470/1000000</f>
        <v>0.15547</v>
      </c>
      <c r="G635" s="36">
        <f>F635*0.197</f>
        <v>3.062759E-2</v>
      </c>
      <c r="H635" s="36">
        <f>58879/1000000</f>
        <v>5.8879000000000001E-2</v>
      </c>
      <c r="I635" s="37">
        <f>H635*0.15</f>
        <v>8.8318500000000005E-3</v>
      </c>
      <c r="J635" s="32">
        <f t="shared" si="136"/>
        <v>0.13100577500000002</v>
      </c>
      <c r="K635" s="33">
        <f t="shared" si="139"/>
        <v>1.9650866250000003E-2</v>
      </c>
      <c r="L635" s="33"/>
      <c r="O635" s="2">
        <f t="shared" si="140"/>
        <v>2.4532916666666668E-2</v>
      </c>
      <c r="P635" s="2">
        <f t="shared" si="141"/>
        <v>17.663700000000002</v>
      </c>
      <c r="Q635" s="7">
        <f t="shared" si="142"/>
        <v>79.998641304347842</v>
      </c>
      <c r="R635" s="2">
        <v>1.2</v>
      </c>
      <c r="S635" s="2">
        <f t="shared" si="137"/>
        <v>4.45</v>
      </c>
      <c r="T635" s="2"/>
      <c r="U635" s="2"/>
      <c r="Y635" s="8">
        <f t="shared" si="138"/>
        <v>2.8479516304347832</v>
      </c>
    </row>
    <row r="636" spans="1:25" x14ac:dyDescent="0.25">
      <c r="A636" s="34">
        <f t="shared" ref="A636:B651" si="150">A635+1</f>
        <v>628</v>
      </c>
      <c r="B636" s="35"/>
      <c r="C636" s="40" t="s">
        <v>173</v>
      </c>
      <c r="D636" s="35">
        <v>14</v>
      </c>
      <c r="E636" s="35">
        <v>1</v>
      </c>
      <c r="F636" s="36">
        <f>205308/1000000/2</f>
        <v>0.102654</v>
      </c>
      <c r="G636" s="36">
        <f>F636*0.197</f>
        <v>2.0222838E-2</v>
      </c>
      <c r="H636" s="36">
        <f>107458/1000000/2</f>
        <v>5.3728999999999999E-2</v>
      </c>
      <c r="I636" s="37">
        <f>H636*0.15</f>
        <v>8.0593499999999998E-3</v>
      </c>
      <c r="J636" s="32">
        <f t="shared" si="136"/>
        <v>0.11954702500000002</v>
      </c>
      <c r="K636" s="33">
        <f t="shared" si="139"/>
        <v>1.7932053750000003E-2</v>
      </c>
      <c r="L636" s="33"/>
      <c r="O636" s="2">
        <f t="shared" si="140"/>
        <v>2.2387083333333335E-2</v>
      </c>
      <c r="P636" s="2">
        <f t="shared" si="141"/>
        <v>16.1187</v>
      </c>
      <c r="Q636" s="7">
        <f t="shared" si="142"/>
        <v>73.001358695652172</v>
      </c>
      <c r="R636" s="2">
        <v>1.2</v>
      </c>
      <c r="S636" s="2">
        <f t="shared" si="137"/>
        <v>4.45</v>
      </c>
      <c r="T636" s="2"/>
      <c r="U636" s="2"/>
      <c r="Y636" s="8">
        <f t="shared" si="138"/>
        <v>2.5988483695652178</v>
      </c>
    </row>
    <row r="637" spans="1:25" x14ac:dyDescent="0.25">
      <c r="A637" s="34">
        <f t="shared" si="150"/>
        <v>629</v>
      </c>
      <c r="B637" s="35"/>
      <c r="C637" s="40" t="s">
        <v>173</v>
      </c>
      <c r="D637" s="35">
        <v>14</v>
      </c>
      <c r="E637" s="35">
        <v>2</v>
      </c>
      <c r="F637" s="36">
        <f>205308/1000000/2</f>
        <v>0.102654</v>
      </c>
      <c r="G637" s="36">
        <f>F637*0.197</f>
        <v>2.0222838E-2</v>
      </c>
      <c r="H637" s="36">
        <f>107458/1000000/2</f>
        <v>5.3728999999999999E-2</v>
      </c>
      <c r="I637" s="37">
        <f>H637*0.15</f>
        <v>8.0593499999999998E-3</v>
      </c>
      <c r="J637" s="32">
        <f t="shared" si="136"/>
        <v>0.11954702500000002</v>
      </c>
      <c r="K637" s="33">
        <f t="shared" si="139"/>
        <v>1.7932053750000003E-2</v>
      </c>
      <c r="L637" s="33"/>
      <c r="O637" s="2">
        <f t="shared" si="140"/>
        <v>2.2387083333333335E-2</v>
      </c>
      <c r="P637" s="2">
        <f t="shared" si="141"/>
        <v>16.1187</v>
      </c>
      <c r="Q637" s="7">
        <f t="shared" si="142"/>
        <v>73.001358695652172</v>
      </c>
      <c r="R637" s="2">
        <v>1.2</v>
      </c>
      <c r="S637" s="2">
        <f t="shared" si="137"/>
        <v>4.45</v>
      </c>
      <c r="T637" s="2"/>
      <c r="U637" s="2"/>
      <c r="Y637" s="8">
        <f t="shared" si="138"/>
        <v>2.5988483695652178</v>
      </c>
    </row>
    <row r="638" spans="1:25" x14ac:dyDescent="0.25">
      <c r="A638" s="34">
        <f t="shared" si="150"/>
        <v>630</v>
      </c>
      <c r="B638" s="35" t="e">
        <f>B633+1</f>
        <v>#REF!</v>
      </c>
      <c r="C638" s="40" t="s">
        <v>174</v>
      </c>
      <c r="D638" s="35">
        <v>15</v>
      </c>
      <c r="E638" s="35"/>
      <c r="F638" s="36">
        <v>0.30049999999999999</v>
      </c>
      <c r="G638" s="36">
        <v>5.9200000000000003E-2</v>
      </c>
      <c r="H638" s="36">
        <v>0.14299999999999999</v>
      </c>
      <c r="I638" s="37">
        <v>2.146E-2</v>
      </c>
      <c r="J638" s="32">
        <f t="shared" si="136"/>
        <v>0.26455000000000001</v>
      </c>
      <c r="K638" s="33">
        <f t="shared" si="139"/>
        <v>3.9682500000000002E-2</v>
      </c>
      <c r="L638" s="33"/>
      <c r="O638" s="2">
        <f t="shared" si="140"/>
        <v>5.9583333333333328E-2</v>
      </c>
      <c r="P638" s="2">
        <f t="shared" si="141"/>
        <v>42.9</v>
      </c>
      <c r="Q638" s="7">
        <f t="shared" si="142"/>
        <v>194.29347826086956</v>
      </c>
      <c r="R638" s="2">
        <v>1.2</v>
      </c>
      <c r="S638" s="2">
        <f t="shared" si="137"/>
        <v>3.7</v>
      </c>
      <c r="T638" s="2"/>
      <c r="U638" s="2"/>
      <c r="Y638" s="8">
        <f t="shared" si="138"/>
        <v>5.7510869565217391</v>
      </c>
    </row>
    <row r="639" spans="1:25" x14ac:dyDescent="0.25">
      <c r="A639" s="34">
        <f t="shared" si="150"/>
        <v>631</v>
      </c>
      <c r="C639" s="40" t="s">
        <v>174</v>
      </c>
      <c r="D639" s="35">
        <v>50</v>
      </c>
      <c r="E639" s="35"/>
      <c r="F639" s="36">
        <f>322835/1000000</f>
        <v>0.32283499999999998</v>
      </c>
      <c r="G639" s="36">
        <f>F639*0.197</f>
        <v>6.3598495000000005E-2</v>
      </c>
      <c r="H639" s="36">
        <f>93472/1000000</f>
        <v>9.3472E-2</v>
      </c>
      <c r="I639" s="37">
        <f>H639*0.15</f>
        <v>1.40208E-2</v>
      </c>
      <c r="J639" s="32">
        <f t="shared" si="136"/>
        <v>0.20797520000000003</v>
      </c>
      <c r="K639" s="33">
        <f t="shared" si="139"/>
        <v>3.1196280000000003E-2</v>
      </c>
      <c r="L639" s="33"/>
      <c r="O639" s="2">
        <f t="shared" si="140"/>
        <v>3.8946666666666671E-2</v>
      </c>
      <c r="P639" s="2">
        <f t="shared" si="141"/>
        <v>28.041600000000003</v>
      </c>
      <c r="Q639" s="7">
        <f t="shared" si="142"/>
        <v>127.00000000000001</v>
      </c>
      <c r="R639" s="2">
        <v>1.2</v>
      </c>
      <c r="S639" s="2">
        <f t="shared" si="137"/>
        <v>4.45</v>
      </c>
      <c r="T639" s="2"/>
      <c r="U639" s="2"/>
      <c r="Y639" s="8">
        <f t="shared" si="138"/>
        <v>4.5212000000000003</v>
      </c>
    </row>
    <row r="640" spans="1:25" x14ac:dyDescent="0.25">
      <c r="A640" s="34">
        <f t="shared" si="150"/>
        <v>632</v>
      </c>
      <c r="B640" s="35" t="e">
        <f>#REF!+1</f>
        <v>#REF!</v>
      </c>
      <c r="C640" s="40" t="s">
        <v>175</v>
      </c>
      <c r="D640" s="35">
        <v>116</v>
      </c>
      <c r="E640" s="35"/>
      <c r="F640" s="36">
        <f>63040/1000000</f>
        <v>6.3039999999999999E-2</v>
      </c>
      <c r="G640" s="36">
        <f t="shared" ref="G640:G646" si="151">F640*0.197</f>
        <v>1.241888E-2</v>
      </c>
      <c r="H640" s="36">
        <f>19138/1000000</f>
        <v>1.9137999999999999E-2</v>
      </c>
      <c r="I640" s="37">
        <f t="shared" ref="I640:I646" si="152">H640*0.15</f>
        <v>2.8706999999999999E-3</v>
      </c>
      <c r="J640" s="32">
        <f t="shared" si="136"/>
        <v>4.2582049999999996E-2</v>
      </c>
      <c r="K640" s="33">
        <f t="shared" si="139"/>
        <v>6.3873074999999989E-3</v>
      </c>
      <c r="L640" s="33"/>
      <c r="O640" s="2">
        <f t="shared" si="140"/>
        <v>7.9741666666666659E-3</v>
      </c>
      <c r="P640" s="2">
        <f t="shared" si="141"/>
        <v>5.7413999999999996</v>
      </c>
      <c r="Q640" s="7">
        <f t="shared" si="142"/>
        <v>26.002717391304348</v>
      </c>
      <c r="R640" s="2">
        <v>1.2</v>
      </c>
      <c r="S640" s="2">
        <f t="shared" si="137"/>
        <v>4.45</v>
      </c>
      <c r="T640" s="2"/>
      <c r="U640" s="2"/>
      <c r="Y640" s="8">
        <f t="shared" si="138"/>
        <v>0.92569673913043471</v>
      </c>
    </row>
    <row r="641" spans="1:25" x14ac:dyDescent="0.25">
      <c r="A641" s="34">
        <f t="shared" si="150"/>
        <v>633</v>
      </c>
      <c r="B641" s="35" t="e">
        <f t="shared" si="150"/>
        <v>#REF!</v>
      </c>
      <c r="C641" s="40" t="s">
        <v>176</v>
      </c>
      <c r="D641" s="35">
        <v>43</v>
      </c>
      <c r="E641" s="35"/>
      <c r="F641" s="36">
        <f>114400/1000000</f>
        <v>0.1144</v>
      </c>
      <c r="G641" s="36">
        <f t="shared" si="151"/>
        <v>2.2536800000000003E-2</v>
      </c>
      <c r="H641" s="36">
        <f>42688/1000000</f>
        <v>4.2687999999999997E-2</v>
      </c>
      <c r="I641" s="37">
        <f t="shared" si="152"/>
        <v>6.4031999999999995E-3</v>
      </c>
      <c r="J641" s="32">
        <f t="shared" si="136"/>
        <v>9.498079999999999E-2</v>
      </c>
      <c r="K641" s="33">
        <f t="shared" si="139"/>
        <v>1.4247119999999999E-2</v>
      </c>
      <c r="L641" s="33"/>
      <c r="O641" s="2">
        <f t="shared" si="140"/>
        <v>1.7786666666666666E-2</v>
      </c>
      <c r="P641" s="2">
        <f t="shared" si="141"/>
        <v>12.8064</v>
      </c>
      <c r="Q641" s="7">
        <f t="shared" si="142"/>
        <v>58</v>
      </c>
      <c r="R641" s="2">
        <v>1.2</v>
      </c>
      <c r="S641" s="2">
        <f t="shared" si="137"/>
        <v>4.45</v>
      </c>
      <c r="T641" s="2"/>
      <c r="U641" s="2"/>
      <c r="Y641" s="8">
        <f t="shared" si="138"/>
        <v>2.0648</v>
      </c>
    </row>
    <row r="642" spans="1:25" x14ac:dyDescent="0.25">
      <c r="A642" s="34">
        <f t="shared" si="150"/>
        <v>634</v>
      </c>
      <c r="B642" s="35" t="e">
        <f t="shared" si="150"/>
        <v>#REF!</v>
      </c>
      <c r="C642" s="40" t="s">
        <v>176</v>
      </c>
      <c r="D642" s="35" t="s">
        <v>177</v>
      </c>
      <c r="E642" s="35"/>
      <c r="F642" s="36">
        <f>114207/1000000</f>
        <v>0.114207</v>
      </c>
      <c r="G642" s="36">
        <f t="shared" si="151"/>
        <v>2.2498779E-2</v>
      </c>
      <c r="H642" s="36">
        <f>49312/1000000</f>
        <v>4.9312000000000002E-2</v>
      </c>
      <c r="I642" s="37">
        <f t="shared" si="152"/>
        <v>7.3968000000000002E-3</v>
      </c>
      <c r="J642" s="32">
        <f t="shared" si="136"/>
        <v>0.1097192</v>
      </c>
      <c r="K642" s="33">
        <f t="shared" si="139"/>
        <v>1.6457880000000001E-2</v>
      </c>
      <c r="L642" s="33"/>
      <c r="O642" s="2">
        <f t="shared" si="140"/>
        <v>2.0546666666666668E-2</v>
      </c>
      <c r="P642" s="2">
        <f t="shared" si="141"/>
        <v>14.7936</v>
      </c>
      <c r="Q642" s="7">
        <f t="shared" si="142"/>
        <v>67</v>
      </c>
      <c r="R642" s="2">
        <v>1.2</v>
      </c>
      <c r="S642" s="2">
        <f t="shared" si="137"/>
        <v>4.45</v>
      </c>
      <c r="T642" s="2"/>
      <c r="U642" s="2"/>
      <c r="Y642" s="8">
        <f t="shared" si="138"/>
        <v>2.3852000000000002</v>
      </c>
    </row>
    <row r="643" spans="1:25" x14ac:dyDescent="0.25">
      <c r="A643" s="34">
        <f t="shared" si="150"/>
        <v>635</v>
      </c>
      <c r="B643" s="35" t="e">
        <f t="shared" si="150"/>
        <v>#REF!</v>
      </c>
      <c r="C643" s="40" t="s">
        <v>176</v>
      </c>
      <c r="D643" s="35">
        <v>45</v>
      </c>
      <c r="E643" s="35"/>
      <c r="F643" s="36">
        <f>67265/1000000</f>
        <v>6.7265000000000005E-2</v>
      </c>
      <c r="G643" s="36">
        <f t="shared" si="151"/>
        <v>1.3251205000000002E-2</v>
      </c>
      <c r="H643" s="36">
        <f>22817/1000000</f>
        <v>2.2817E-2</v>
      </c>
      <c r="I643" s="37">
        <f t="shared" si="152"/>
        <v>3.4225499999999999E-3</v>
      </c>
      <c r="J643" s="32">
        <f t="shared" si="136"/>
        <v>5.0767825000000003E-2</v>
      </c>
      <c r="K643" s="33">
        <f t="shared" si="139"/>
        <v>7.6151737499999999E-3</v>
      </c>
      <c r="L643" s="33"/>
      <c r="O643" s="2">
        <f t="shared" si="140"/>
        <v>9.5070833333333344E-3</v>
      </c>
      <c r="P643" s="2">
        <f t="shared" si="141"/>
        <v>6.8451000000000013</v>
      </c>
      <c r="Q643" s="7">
        <f t="shared" si="142"/>
        <v>31.001358695652179</v>
      </c>
      <c r="R643" s="2">
        <v>1.2</v>
      </c>
      <c r="S643" s="2">
        <f t="shared" si="137"/>
        <v>4.45</v>
      </c>
      <c r="T643" s="2"/>
      <c r="U643" s="2"/>
      <c r="Y643" s="8">
        <f t="shared" si="138"/>
        <v>1.1036483695652175</v>
      </c>
    </row>
    <row r="644" spans="1:25" x14ac:dyDescent="0.25">
      <c r="A644" s="34">
        <f t="shared" si="150"/>
        <v>636</v>
      </c>
      <c r="B644" s="35" t="e">
        <f t="shared" si="150"/>
        <v>#REF!</v>
      </c>
      <c r="C644" s="40" t="s">
        <v>176</v>
      </c>
      <c r="D644" s="35">
        <v>47</v>
      </c>
      <c r="E644" s="35"/>
      <c r="F644" s="36">
        <f>67865/1000000</f>
        <v>6.7864999999999995E-2</v>
      </c>
      <c r="G644" s="36">
        <f t="shared" si="151"/>
        <v>1.3369404999999999E-2</v>
      </c>
      <c r="H644" s="36">
        <f>25022/1000000</f>
        <v>2.5021999999999999E-2</v>
      </c>
      <c r="I644" s="37">
        <f t="shared" si="152"/>
        <v>3.7532999999999998E-3</v>
      </c>
      <c r="J644" s="32">
        <f t="shared" si="136"/>
        <v>5.567395E-2</v>
      </c>
      <c r="K644" s="33">
        <f t="shared" si="139"/>
        <v>8.3510924999999989E-3</v>
      </c>
      <c r="L644" s="33"/>
      <c r="O644" s="2">
        <f t="shared" si="140"/>
        <v>1.0425833333333334E-2</v>
      </c>
      <c r="P644" s="2">
        <f t="shared" si="141"/>
        <v>7.5065999999999997</v>
      </c>
      <c r="Q644" s="7">
        <f t="shared" si="142"/>
        <v>33.997282608695649</v>
      </c>
      <c r="R644" s="2">
        <v>1.2</v>
      </c>
      <c r="S644" s="2">
        <f t="shared" si="137"/>
        <v>4.45</v>
      </c>
      <c r="T644" s="2"/>
      <c r="U644" s="2"/>
      <c r="Y644" s="8">
        <f t="shared" si="138"/>
        <v>1.2103032608695652</v>
      </c>
    </row>
    <row r="645" spans="1:25" x14ac:dyDescent="0.25">
      <c r="A645" s="34">
        <f t="shared" si="150"/>
        <v>637</v>
      </c>
      <c r="B645" s="35" t="e">
        <f t="shared" si="150"/>
        <v>#REF!</v>
      </c>
      <c r="C645" s="40" t="s">
        <v>176</v>
      </c>
      <c r="D645" s="35">
        <v>71</v>
      </c>
      <c r="E645" s="35"/>
      <c r="F645" s="36">
        <f>63040/1000000</f>
        <v>6.3039999999999999E-2</v>
      </c>
      <c r="G645" s="36">
        <f t="shared" si="151"/>
        <v>1.241888E-2</v>
      </c>
      <c r="H645" s="36">
        <f>20606/1000000</f>
        <v>2.0605999999999999E-2</v>
      </c>
      <c r="I645" s="37">
        <f t="shared" si="152"/>
        <v>3.0908999999999997E-3</v>
      </c>
      <c r="J645" s="32">
        <f t="shared" si="136"/>
        <v>4.584835000000001E-2</v>
      </c>
      <c r="K645" s="33">
        <f t="shared" si="139"/>
        <v>6.877252500000001E-3</v>
      </c>
      <c r="L645" s="33"/>
      <c r="O645" s="2">
        <f t="shared" si="140"/>
        <v>8.5858333333333342E-3</v>
      </c>
      <c r="P645" s="2">
        <f t="shared" si="141"/>
        <v>6.1818000000000008</v>
      </c>
      <c r="Q645" s="7">
        <f t="shared" si="142"/>
        <v>27.997282608695656</v>
      </c>
      <c r="R645" s="2">
        <v>1.2</v>
      </c>
      <c r="S645" s="2">
        <f t="shared" si="137"/>
        <v>4.45</v>
      </c>
      <c r="T645" s="2"/>
      <c r="U645" s="2"/>
      <c r="Y645" s="8">
        <f t="shared" si="138"/>
        <v>0.9967032608695654</v>
      </c>
    </row>
    <row r="646" spans="1:25" x14ac:dyDescent="0.25">
      <c r="A646" s="34">
        <f t="shared" si="150"/>
        <v>638</v>
      </c>
      <c r="B646" s="35" t="e">
        <f t="shared" si="150"/>
        <v>#REF!</v>
      </c>
      <c r="C646" s="40" t="s">
        <v>176</v>
      </c>
      <c r="D646" s="35">
        <v>79</v>
      </c>
      <c r="E646" s="35"/>
      <c r="F646" s="36">
        <f>207549/1000000</f>
        <v>0.20754900000000001</v>
      </c>
      <c r="G646" s="36">
        <f t="shared" si="151"/>
        <v>4.0887153000000002E-2</v>
      </c>
      <c r="H646" s="36">
        <f>96416/1000000</f>
        <v>9.6416000000000002E-2</v>
      </c>
      <c r="I646" s="37">
        <f t="shared" si="152"/>
        <v>1.44624E-2</v>
      </c>
      <c r="J646" s="32">
        <f t="shared" si="136"/>
        <v>0.21452560000000004</v>
      </c>
      <c r="K646" s="33">
        <f t="shared" si="139"/>
        <v>3.2178840000000007E-2</v>
      </c>
      <c r="L646" s="33"/>
      <c r="O646" s="2">
        <f t="shared" si="140"/>
        <v>4.0173333333333339E-2</v>
      </c>
      <c r="P646" s="2">
        <f t="shared" si="141"/>
        <v>28.924800000000005</v>
      </c>
      <c r="Q646" s="7">
        <f t="shared" si="142"/>
        <v>131.00000000000003</v>
      </c>
      <c r="R646" s="2">
        <v>1.2</v>
      </c>
      <c r="S646" s="2">
        <f t="shared" si="137"/>
        <v>4.45</v>
      </c>
      <c r="T646" s="2"/>
      <c r="U646" s="2"/>
      <c r="Y646" s="8">
        <f t="shared" si="138"/>
        <v>4.6636000000000015</v>
      </c>
    </row>
    <row r="647" spans="1:25" x14ac:dyDescent="0.25">
      <c r="A647" s="34">
        <f t="shared" si="150"/>
        <v>639</v>
      </c>
      <c r="B647" s="35" t="e">
        <f t="shared" si="150"/>
        <v>#REF!</v>
      </c>
      <c r="C647" s="40" t="s">
        <v>176</v>
      </c>
      <c r="D647" s="35">
        <v>77</v>
      </c>
      <c r="E647" s="35">
        <v>1</v>
      </c>
      <c r="F647" s="36">
        <v>0.20749999999999999</v>
      </c>
      <c r="G647" s="36">
        <v>4.0899999999999999E-2</v>
      </c>
      <c r="H647" s="36">
        <v>0.1661</v>
      </c>
      <c r="I647" s="37">
        <v>2.4910000000000002E-2</v>
      </c>
      <c r="J647" s="32">
        <f t="shared" si="136"/>
        <v>0.30728500000000003</v>
      </c>
      <c r="K647" s="33">
        <f t="shared" si="139"/>
        <v>4.6092750000000002E-2</v>
      </c>
      <c r="L647" s="33"/>
      <c r="O647" s="2">
        <f t="shared" si="140"/>
        <v>6.920833333333333E-2</v>
      </c>
      <c r="P647" s="2">
        <f t="shared" si="141"/>
        <v>49.83</v>
      </c>
      <c r="Q647" s="7">
        <f t="shared" si="142"/>
        <v>225.67934782608694</v>
      </c>
      <c r="R647" s="2">
        <v>1.2</v>
      </c>
      <c r="S647" s="2">
        <f t="shared" si="137"/>
        <v>3.7</v>
      </c>
      <c r="T647" s="2"/>
      <c r="U647" s="2"/>
      <c r="Y647" s="8">
        <f t="shared" si="138"/>
        <v>6.6801086956521747</v>
      </c>
    </row>
    <row r="648" spans="1:25" x14ac:dyDescent="0.25">
      <c r="A648" s="34">
        <f t="shared" si="150"/>
        <v>640</v>
      </c>
      <c r="B648" s="35" t="e">
        <f t="shared" si="150"/>
        <v>#REF!</v>
      </c>
      <c r="C648" s="40" t="s">
        <v>176</v>
      </c>
      <c r="D648" s="35">
        <v>77</v>
      </c>
      <c r="E648" s="35">
        <v>2</v>
      </c>
      <c r="F648" s="36">
        <v>0.20749999999999999</v>
      </c>
      <c r="G648" s="36">
        <v>4.0899999999999999E-2</v>
      </c>
      <c r="H648" s="36"/>
      <c r="I648" s="37"/>
      <c r="J648" s="32">
        <f t="shared" si="136"/>
        <v>0</v>
      </c>
      <c r="K648" s="33">
        <f t="shared" si="139"/>
        <v>0</v>
      </c>
      <c r="L648" s="33"/>
      <c r="O648" s="2">
        <f t="shared" si="140"/>
        <v>0</v>
      </c>
      <c r="P648" s="2">
        <f t="shared" si="141"/>
        <v>0</v>
      </c>
      <c r="Q648" s="7">
        <f t="shared" si="142"/>
        <v>0</v>
      </c>
      <c r="R648" s="2">
        <v>1.2</v>
      </c>
      <c r="S648" s="2">
        <f t="shared" si="137"/>
        <v>4.45</v>
      </c>
      <c r="T648" s="2"/>
      <c r="U648" s="2"/>
      <c r="Y648" s="8">
        <f t="shared" si="138"/>
        <v>0</v>
      </c>
    </row>
    <row r="649" spans="1:25" x14ac:dyDescent="0.25">
      <c r="A649" s="34">
        <f t="shared" si="150"/>
        <v>641</v>
      </c>
      <c r="B649" s="35" t="e">
        <f t="shared" si="150"/>
        <v>#REF!</v>
      </c>
      <c r="C649" s="40" t="s">
        <v>176</v>
      </c>
      <c r="D649" s="35">
        <v>81</v>
      </c>
      <c r="E649" s="35"/>
      <c r="F649" s="36">
        <f>94769/1000000</f>
        <v>9.4769000000000006E-2</v>
      </c>
      <c r="G649" s="36">
        <f>F649*0.197</f>
        <v>1.8669493000000002E-2</v>
      </c>
      <c r="H649" s="36">
        <f>39744/1000000</f>
        <v>3.9744000000000002E-2</v>
      </c>
      <c r="I649" s="37">
        <f>H649*0.15</f>
        <v>5.9616000000000001E-3</v>
      </c>
      <c r="J649" s="32">
        <f t="shared" ref="J649:J712" si="153">O649*R649*S649</f>
        <v>8.8430400000000006E-2</v>
      </c>
      <c r="K649" s="33">
        <f t="shared" si="139"/>
        <v>1.326456E-2</v>
      </c>
      <c r="L649" s="33"/>
      <c r="O649" s="2">
        <f t="shared" si="140"/>
        <v>1.6560000000000002E-2</v>
      </c>
      <c r="P649" s="2">
        <f t="shared" si="141"/>
        <v>11.923200000000001</v>
      </c>
      <c r="Q649" s="7">
        <f t="shared" si="142"/>
        <v>54.000000000000007</v>
      </c>
      <c r="R649" s="2">
        <v>1.2</v>
      </c>
      <c r="S649" s="2">
        <f t="shared" ref="S649:S712" si="154">IF(Q649&lt;=$AE$6,$AF$6,IF(Q649&lt;=$AE$7,$AF$7,IF(Q649&lt;=$AE$8,$AF$8,IF(Q649&lt;=$AE$9,$AF$9,IF(Q649&lt;=$AE$10,$AF$10,0)))))</f>
        <v>4.45</v>
      </c>
      <c r="T649" s="2"/>
      <c r="U649" s="2"/>
      <c r="Y649" s="8">
        <f t="shared" ref="Y649:Y712" si="155">J649/46*1000</f>
        <v>1.9224000000000001</v>
      </c>
    </row>
    <row r="650" spans="1:25" x14ac:dyDescent="0.25">
      <c r="A650" s="34">
        <f t="shared" si="150"/>
        <v>642</v>
      </c>
      <c r="B650" s="35" t="e">
        <f t="shared" si="150"/>
        <v>#REF!</v>
      </c>
      <c r="C650" s="40" t="s">
        <v>176</v>
      </c>
      <c r="D650" s="35">
        <v>83</v>
      </c>
      <c r="E650" s="35">
        <v>1</v>
      </c>
      <c r="F650" s="36">
        <f>198663/1000000</f>
        <v>0.19866300000000001</v>
      </c>
      <c r="G650" s="36">
        <f>F650*0.197</f>
        <v>3.9136611000000002E-2</v>
      </c>
      <c r="H650" s="36">
        <f>67712/1000000</f>
        <v>6.7711999999999994E-2</v>
      </c>
      <c r="I650" s="37">
        <f>H650*0.15</f>
        <v>1.0156799999999999E-2</v>
      </c>
      <c r="J650" s="32">
        <f t="shared" si="153"/>
        <v>0.15065919999999999</v>
      </c>
      <c r="K650" s="33">
        <f t="shared" ref="K650:K713" si="156">J650*0.15</f>
        <v>2.2598879999999998E-2</v>
      </c>
      <c r="L650" s="33"/>
      <c r="O650" s="2">
        <f t="shared" si="140"/>
        <v>2.8213333333333333E-2</v>
      </c>
      <c r="P650" s="2">
        <f t="shared" si="141"/>
        <v>20.313599999999997</v>
      </c>
      <c r="Q650" s="7">
        <f t="shared" si="142"/>
        <v>91.999999999999986</v>
      </c>
      <c r="R650" s="2">
        <v>1.2</v>
      </c>
      <c r="S650" s="2">
        <f t="shared" si="154"/>
        <v>4.45</v>
      </c>
      <c r="T650" s="2"/>
      <c r="U650" s="2"/>
      <c r="Y650" s="8">
        <f t="shared" si="155"/>
        <v>3.2751999999999999</v>
      </c>
    </row>
    <row r="651" spans="1:25" x14ac:dyDescent="0.25">
      <c r="A651" s="34">
        <f t="shared" si="150"/>
        <v>643</v>
      </c>
      <c r="B651" s="35" t="e">
        <f t="shared" si="150"/>
        <v>#REF!</v>
      </c>
      <c r="C651" s="40" t="s">
        <v>176</v>
      </c>
      <c r="D651" s="35">
        <v>83</v>
      </c>
      <c r="E651" s="35">
        <v>2</v>
      </c>
      <c r="F651" s="36">
        <f>99846/1000000</f>
        <v>9.9846000000000004E-2</v>
      </c>
      <c r="G651" s="36">
        <f>F651*0.197</f>
        <v>1.9669662000000001E-2</v>
      </c>
      <c r="H651" s="36">
        <f>38272/1000000</f>
        <v>3.8272E-2</v>
      </c>
      <c r="I651" s="37">
        <f>H651*0.15</f>
        <v>5.7407999999999999E-3</v>
      </c>
      <c r="J651" s="32">
        <f t="shared" si="153"/>
        <v>8.51552E-2</v>
      </c>
      <c r="K651" s="33">
        <f t="shared" si="156"/>
        <v>1.277328E-2</v>
      </c>
      <c r="L651" s="33"/>
      <c r="O651" s="2">
        <f t="shared" ref="O651:O714" si="157">H651/2.4</f>
        <v>1.5946666666666668E-2</v>
      </c>
      <c r="P651" s="2">
        <f t="shared" ref="P651:P714" si="158">O651*24*30</f>
        <v>11.481600000000002</v>
      </c>
      <c r="Q651" s="7">
        <f t="shared" ref="Q651:Q714" si="159">P651/0.2208</f>
        <v>52.000000000000007</v>
      </c>
      <c r="R651" s="2">
        <v>1.2</v>
      </c>
      <c r="S651" s="2">
        <f t="shared" si="154"/>
        <v>4.45</v>
      </c>
      <c r="T651" s="2"/>
      <c r="U651" s="2"/>
      <c r="Y651" s="8">
        <f t="shared" si="155"/>
        <v>1.8512000000000002</v>
      </c>
    </row>
    <row r="652" spans="1:25" x14ac:dyDescent="0.25">
      <c r="A652" s="34">
        <f t="shared" ref="A652:B667" si="160">A651+1</f>
        <v>644</v>
      </c>
      <c r="B652" s="35" t="e">
        <f t="shared" si="160"/>
        <v>#REF!</v>
      </c>
      <c r="C652" s="40" t="s">
        <v>176</v>
      </c>
      <c r="D652" s="35">
        <v>150</v>
      </c>
      <c r="E652" s="35"/>
      <c r="F652" s="36">
        <v>0.216</v>
      </c>
      <c r="G652" s="36">
        <v>4.2500000000000003E-2</v>
      </c>
      <c r="H652" s="36">
        <v>7.4999999999999997E-2</v>
      </c>
      <c r="I652" s="37">
        <v>2.2499999999999999E-2</v>
      </c>
      <c r="J652" s="32">
        <f t="shared" si="153"/>
        <v>0.166875</v>
      </c>
      <c r="K652" s="33">
        <f t="shared" si="156"/>
        <v>2.5031249999999998E-2</v>
      </c>
      <c r="L652" s="33"/>
      <c r="O652" s="2">
        <f t="shared" si="157"/>
        <v>3.125E-2</v>
      </c>
      <c r="P652" s="2">
        <f t="shared" si="158"/>
        <v>22.5</v>
      </c>
      <c r="Q652" s="7">
        <f t="shared" si="159"/>
        <v>101.90217391304348</v>
      </c>
      <c r="R652" s="2">
        <v>1.2</v>
      </c>
      <c r="S652" s="2">
        <f t="shared" si="154"/>
        <v>4.45</v>
      </c>
      <c r="T652" s="2"/>
      <c r="U652" s="2"/>
      <c r="Y652" s="8">
        <f t="shared" si="155"/>
        <v>3.6277173913043477</v>
      </c>
    </row>
    <row r="653" spans="1:25" x14ac:dyDescent="0.25">
      <c r="A653" s="34">
        <f t="shared" si="160"/>
        <v>645</v>
      </c>
      <c r="B653" s="35" t="e">
        <f t="shared" si="160"/>
        <v>#REF!</v>
      </c>
      <c r="C653" s="40" t="s">
        <v>178</v>
      </c>
      <c r="D653" s="35">
        <v>4</v>
      </c>
      <c r="E653" s="35"/>
      <c r="F653" s="36">
        <f>113910/1000000</f>
        <v>0.11391</v>
      </c>
      <c r="G653" s="36">
        <f>F653*0.197</f>
        <v>2.2440270000000002E-2</v>
      </c>
      <c r="H653" s="36">
        <f>56674/1000000</f>
        <v>5.6674000000000002E-2</v>
      </c>
      <c r="I653" s="37">
        <f>H653*0.15</f>
        <v>8.5010999999999993E-3</v>
      </c>
      <c r="J653" s="32">
        <f t="shared" si="153"/>
        <v>0.12609965000000001</v>
      </c>
      <c r="K653" s="33">
        <f t="shared" si="156"/>
        <v>1.8914947500000001E-2</v>
      </c>
      <c r="L653" s="33"/>
      <c r="O653" s="2">
        <f t="shared" si="157"/>
        <v>2.3614166666666669E-2</v>
      </c>
      <c r="P653" s="2">
        <f t="shared" si="158"/>
        <v>17.002200000000002</v>
      </c>
      <c r="Q653" s="7">
        <f t="shared" si="159"/>
        <v>77.002717391304358</v>
      </c>
      <c r="R653" s="2">
        <v>1.2</v>
      </c>
      <c r="S653" s="2">
        <f t="shared" si="154"/>
        <v>4.45</v>
      </c>
      <c r="T653" s="2"/>
      <c r="U653" s="2"/>
      <c r="Y653" s="8">
        <f t="shared" si="155"/>
        <v>2.7412967391304353</v>
      </c>
    </row>
    <row r="654" spans="1:25" x14ac:dyDescent="0.25">
      <c r="A654" s="34">
        <f t="shared" si="160"/>
        <v>646</v>
      </c>
      <c r="B654" s="35" t="e">
        <f t="shared" si="160"/>
        <v>#REF!</v>
      </c>
      <c r="C654" s="48" t="s">
        <v>179</v>
      </c>
      <c r="D654" s="35">
        <v>16</v>
      </c>
      <c r="E654" s="35"/>
      <c r="F654" s="36">
        <f>142097/1000000</f>
        <v>0.142097</v>
      </c>
      <c r="G654" s="36">
        <f>F654*0.197</f>
        <v>2.7993109000000002E-2</v>
      </c>
      <c r="H654" s="36">
        <f>44896/1000000</f>
        <v>4.4895999999999998E-2</v>
      </c>
      <c r="I654" s="37">
        <f>H654*0.15</f>
        <v>6.7343999999999998E-3</v>
      </c>
      <c r="J654" s="32">
        <f t="shared" si="153"/>
        <v>9.9893599999999999E-2</v>
      </c>
      <c r="K654" s="33">
        <f t="shared" si="156"/>
        <v>1.4984039999999999E-2</v>
      </c>
      <c r="L654" s="33"/>
      <c r="O654" s="2">
        <f t="shared" si="157"/>
        <v>1.8706666666666667E-2</v>
      </c>
      <c r="P654" s="2">
        <f t="shared" si="158"/>
        <v>13.468800000000002</v>
      </c>
      <c r="Q654" s="7">
        <f t="shared" si="159"/>
        <v>61.000000000000007</v>
      </c>
      <c r="R654" s="2">
        <v>1.2</v>
      </c>
      <c r="S654" s="2">
        <f t="shared" si="154"/>
        <v>4.45</v>
      </c>
      <c r="T654" s="2"/>
      <c r="U654" s="2"/>
      <c r="Y654" s="8">
        <f t="shared" si="155"/>
        <v>2.1716000000000002</v>
      </c>
    </row>
    <row r="655" spans="1:25" x14ac:dyDescent="0.25">
      <c r="A655" s="34">
        <f t="shared" si="160"/>
        <v>647</v>
      </c>
      <c r="B655" s="35" t="e">
        <f t="shared" si="160"/>
        <v>#REF!</v>
      </c>
      <c r="C655" s="48" t="s">
        <v>179</v>
      </c>
      <c r="D655" s="35">
        <v>2</v>
      </c>
      <c r="E655" s="35"/>
      <c r="F655" s="36">
        <v>0.1472</v>
      </c>
      <c r="G655" s="36">
        <v>2.9000000000000001E-2</v>
      </c>
      <c r="H655" s="36">
        <v>6.4000000000000001E-2</v>
      </c>
      <c r="I655" s="37">
        <v>9.5999999999999992E-3</v>
      </c>
      <c r="J655" s="32">
        <f t="shared" si="153"/>
        <v>0.1424</v>
      </c>
      <c r="K655" s="33">
        <f t="shared" si="156"/>
        <v>2.1360000000000001E-2</v>
      </c>
      <c r="L655" s="33"/>
      <c r="O655" s="2">
        <f t="shared" si="157"/>
        <v>2.6666666666666668E-2</v>
      </c>
      <c r="P655" s="2">
        <f t="shared" si="158"/>
        <v>19.2</v>
      </c>
      <c r="Q655" s="7">
        <f t="shared" si="159"/>
        <v>86.956521739130437</v>
      </c>
      <c r="R655" s="2">
        <v>1.2</v>
      </c>
      <c r="S655" s="2">
        <f t="shared" si="154"/>
        <v>4.45</v>
      </c>
      <c r="T655" s="2"/>
      <c r="U655" s="2"/>
      <c r="Y655" s="8">
        <f t="shared" si="155"/>
        <v>3.0956521739130438</v>
      </c>
    </row>
    <row r="656" spans="1:25" x14ac:dyDescent="0.25">
      <c r="A656" s="34">
        <f t="shared" si="160"/>
        <v>648</v>
      </c>
      <c r="B656" s="35" t="e">
        <f t="shared" si="160"/>
        <v>#REF!</v>
      </c>
      <c r="C656" s="48" t="s">
        <v>179</v>
      </c>
      <c r="D656" s="35" t="s">
        <v>144</v>
      </c>
      <c r="E656" s="35"/>
      <c r="F656" s="36">
        <v>0.40260000000000001</v>
      </c>
      <c r="G656" s="36">
        <v>7.9299999999999995E-2</v>
      </c>
      <c r="H656" s="36">
        <v>0.124</v>
      </c>
      <c r="I656" s="37">
        <v>1.8599999999999998E-2</v>
      </c>
      <c r="J656" s="32">
        <f t="shared" si="153"/>
        <v>0.22940000000000002</v>
      </c>
      <c r="K656" s="33">
        <f t="shared" si="156"/>
        <v>3.4410000000000003E-2</v>
      </c>
      <c r="L656" s="33"/>
      <c r="O656" s="2">
        <f t="shared" si="157"/>
        <v>5.1666666666666666E-2</v>
      </c>
      <c r="P656" s="2">
        <f t="shared" si="158"/>
        <v>37.200000000000003</v>
      </c>
      <c r="Q656" s="7">
        <f t="shared" si="159"/>
        <v>168.47826086956525</v>
      </c>
      <c r="R656" s="2">
        <v>1.2</v>
      </c>
      <c r="S656" s="2">
        <f t="shared" si="154"/>
        <v>3.7</v>
      </c>
      <c r="T656" s="2"/>
      <c r="U656" s="2"/>
      <c r="Y656" s="8">
        <f t="shared" si="155"/>
        <v>4.9869565217391312</v>
      </c>
    </row>
    <row r="657" spans="1:25" x14ac:dyDescent="0.25">
      <c r="A657" s="34">
        <f t="shared" si="160"/>
        <v>649</v>
      </c>
      <c r="B657" s="35" t="e">
        <f t="shared" si="160"/>
        <v>#REF!</v>
      </c>
      <c r="C657" s="48" t="s">
        <v>179</v>
      </c>
      <c r="D657" s="35">
        <v>22</v>
      </c>
      <c r="E657" s="35"/>
      <c r="F657" s="36">
        <f>57076/1000000</f>
        <v>5.7076000000000002E-2</v>
      </c>
      <c r="G657" s="36">
        <f t="shared" ref="G657:G675" si="161">F657*0.197</f>
        <v>1.1243972000000001E-2</v>
      </c>
      <c r="H657" s="36">
        <f>16192/1000000</f>
        <v>1.6192000000000002E-2</v>
      </c>
      <c r="I657" s="37">
        <f t="shared" ref="I657:I664" si="162">H657*0.15</f>
        <v>2.4288000000000001E-3</v>
      </c>
      <c r="J657" s="32">
        <f t="shared" si="153"/>
        <v>3.6027200000000002E-2</v>
      </c>
      <c r="K657" s="33">
        <f t="shared" si="156"/>
        <v>5.4040800000000003E-3</v>
      </c>
      <c r="L657" s="33"/>
      <c r="O657" s="2">
        <f t="shared" si="157"/>
        <v>6.7466666666666673E-3</v>
      </c>
      <c r="P657" s="2">
        <f t="shared" si="158"/>
        <v>4.8576000000000006</v>
      </c>
      <c r="Q657" s="7">
        <f t="shared" si="159"/>
        <v>22.000000000000004</v>
      </c>
      <c r="R657" s="2">
        <v>1.2</v>
      </c>
      <c r="S657" s="2">
        <f t="shared" si="154"/>
        <v>4.45</v>
      </c>
      <c r="T657" s="2"/>
      <c r="U657" s="2"/>
      <c r="Y657" s="8">
        <f t="shared" si="155"/>
        <v>0.78320000000000012</v>
      </c>
    </row>
    <row r="658" spans="1:25" x14ac:dyDescent="0.25">
      <c r="A658" s="34">
        <f t="shared" si="160"/>
        <v>650</v>
      </c>
      <c r="B658" s="35" t="e">
        <f t="shared" si="160"/>
        <v>#REF!</v>
      </c>
      <c r="C658" s="48" t="s">
        <v>179</v>
      </c>
      <c r="D658" s="35">
        <v>4</v>
      </c>
      <c r="E658" s="35"/>
      <c r="F658" s="36">
        <f>131783/1000000</f>
        <v>0.13178300000000001</v>
      </c>
      <c r="G658" s="36">
        <f t="shared" si="161"/>
        <v>2.5961251000000005E-2</v>
      </c>
      <c r="H658" s="36">
        <f>37536/1000000</f>
        <v>3.7536E-2</v>
      </c>
      <c r="I658" s="37">
        <f t="shared" si="162"/>
        <v>5.6303999999999998E-3</v>
      </c>
      <c r="J658" s="32">
        <f t="shared" si="153"/>
        <v>8.3517599999999997E-2</v>
      </c>
      <c r="K658" s="33">
        <f t="shared" si="156"/>
        <v>1.252764E-2</v>
      </c>
      <c r="L658" s="33"/>
      <c r="O658" s="2">
        <f t="shared" si="157"/>
        <v>1.5640000000000001E-2</v>
      </c>
      <c r="P658" s="2">
        <f t="shared" si="158"/>
        <v>11.260800000000001</v>
      </c>
      <c r="Q658" s="7">
        <f t="shared" si="159"/>
        <v>51.000000000000007</v>
      </c>
      <c r="R658" s="2">
        <v>1.2</v>
      </c>
      <c r="S658" s="2">
        <f t="shared" si="154"/>
        <v>4.45</v>
      </c>
      <c r="T658" s="2"/>
      <c r="U658" s="2"/>
      <c r="Y658" s="8">
        <f t="shared" si="155"/>
        <v>1.8155999999999999</v>
      </c>
    </row>
    <row r="659" spans="1:25" x14ac:dyDescent="0.25">
      <c r="A659" s="34">
        <f t="shared" si="160"/>
        <v>651</v>
      </c>
      <c r="B659" s="35"/>
      <c r="C659" s="40" t="s">
        <v>180</v>
      </c>
      <c r="D659" s="35">
        <v>8</v>
      </c>
      <c r="E659" s="35"/>
      <c r="F659" s="36">
        <f>139003/1000000</f>
        <v>0.13900299999999999</v>
      </c>
      <c r="G659" s="36">
        <f>F659*0.197</f>
        <v>2.7383590999999999E-2</v>
      </c>
      <c r="H659" s="36">
        <v>8.6173E-2</v>
      </c>
      <c r="I659" s="37">
        <f>H659*0.15</f>
        <v>1.292595E-2</v>
      </c>
      <c r="J659" s="32">
        <f t="shared" si="153"/>
        <v>0.191734925</v>
      </c>
      <c r="K659" s="33">
        <f t="shared" si="156"/>
        <v>2.876023875E-2</v>
      </c>
      <c r="L659" s="33"/>
      <c r="O659" s="2">
        <f t="shared" si="157"/>
        <v>3.5905416666666669E-2</v>
      </c>
      <c r="P659" s="2">
        <f t="shared" si="158"/>
        <v>25.851900000000004</v>
      </c>
      <c r="Q659" s="7">
        <f t="shared" si="159"/>
        <v>117.08288043478262</v>
      </c>
      <c r="R659" s="2">
        <v>1.2</v>
      </c>
      <c r="S659" s="2">
        <f t="shared" si="154"/>
        <v>4.45</v>
      </c>
      <c r="T659" s="2"/>
      <c r="U659" s="2"/>
      <c r="Y659" s="8">
        <f t="shared" si="155"/>
        <v>4.1681505434782604</v>
      </c>
    </row>
    <row r="660" spans="1:25" x14ac:dyDescent="0.25">
      <c r="A660" s="34">
        <f t="shared" si="160"/>
        <v>652</v>
      </c>
      <c r="B660" s="35" t="e">
        <f>#REF!+1</f>
        <v>#REF!</v>
      </c>
      <c r="C660" s="49" t="s">
        <v>181</v>
      </c>
      <c r="D660" s="34" t="s">
        <v>182</v>
      </c>
      <c r="E660" s="34"/>
      <c r="F660" s="36">
        <f>138352/1000000</f>
        <v>0.138352</v>
      </c>
      <c r="G660" s="36">
        <f t="shared" si="161"/>
        <v>2.7255344000000001E-2</v>
      </c>
      <c r="H660" s="36">
        <f>61088/1000000</f>
        <v>6.1088000000000003E-2</v>
      </c>
      <c r="I660" s="37">
        <f t="shared" si="162"/>
        <v>9.1631999999999998E-3</v>
      </c>
      <c r="J660" s="32">
        <f t="shared" si="153"/>
        <v>0.13592080000000001</v>
      </c>
      <c r="K660" s="33">
        <f t="shared" si="156"/>
        <v>2.0388119999999999E-2</v>
      </c>
      <c r="L660" s="33"/>
      <c r="O660" s="2">
        <f t="shared" si="157"/>
        <v>2.5453333333333335E-2</v>
      </c>
      <c r="P660" s="2">
        <f t="shared" si="158"/>
        <v>18.326400000000003</v>
      </c>
      <c r="Q660" s="7">
        <f t="shared" si="159"/>
        <v>83.000000000000014</v>
      </c>
      <c r="R660" s="2">
        <v>1.2</v>
      </c>
      <c r="S660" s="2">
        <f t="shared" si="154"/>
        <v>4.45</v>
      </c>
      <c r="T660" s="2"/>
      <c r="U660" s="2"/>
      <c r="Y660" s="8">
        <f t="shared" si="155"/>
        <v>2.9548000000000001</v>
      </c>
    </row>
    <row r="661" spans="1:25" x14ac:dyDescent="0.25">
      <c r="A661" s="34">
        <f t="shared" si="160"/>
        <v>653</v>
      </c>
      <c r="B661" s="35" t="e">
        <f t="shared" si="160"/>
        <v>#REF!</v>
      </c>
      <c r="C661" s="49" t="s">
        <v>183</v>
      </c>
      <c r="D661" s="34">
        <v>13</v>
      </c>
      <c r="E661" s="34"/>
      <c r="F661" s="36">
        <f>143002/1000000</f>
        <v>0.14300199999999999</v>
      </c>
      <c r="G661" s="36">
        <f t="shared" si="161"/>
        <v>2.8171393999999999E-2</v>
      </c>
      <c r="H661" s="36">
        <f>61824/1000000</f>
        <v>6.1823999999999997E-2</v>
      </c>
      <c r="I661" s="37">
        <f t="shared" si="162"/>
        <v>9.2735999999999999E-3</v>
      </c>
      <c r="J661" s="32">
        <f t="shared" si="153"/>
        <v>0.13755839999999997</v>
      </c>
      <c r="K661" s="33">
        <f t="shared" si="156"/>
        <v>2.0633759999999994E-2</v>
      </c>
      <c r="L661" s="33"/>
      <c r="O661" s="2">
        <f t="shared" si="157"/>
        <v>2.5759999999999998E-2</v>
      </c>
      <c r="P661" s="2">
        <f t="shared" si="158"/>
        <v>18.547199999999997</v>
      </c>
      <c r="Q661" s="7">
        <f t="shared" si="159"/>
        <v>83.999999999999986</v>
      </c>
      <c r="R661" s="2">
        <v>1.2</v>
      </c>
      <c r="S661" s="2">
        <f t="shared" si="154"/>
        <v>4.45</v>
      </c>
      <c r="T661" s="2"/>
      <c r="U661" s="2"/>
      <c r="Y661" s="8">
        <f t="shared" si="155"/>
        <v>2.9903999999999993</v>
      </c>
    </row>
    <row r="662" spans="1:25" x14ac:dyDescent="0.25">
      <c r="A662" s="34">
        <f t="shared" si="160"/>
        <v>654</v>
      </c>
      <c r="B662" s="35" t="e">
        <f t="shared" si="160"/>
        <v>#REF!</v>
      </c>
      <c r="C662" s="40" t="s">
        <v>184</v>
      </c>
      <c r="D662" s="35">
        <v>3</v>
      </c>
      <c r="E662" s="35"/>
      <c r="F662" s="36">
        <f>208505/1000000</f>
        <v>0.208505</v>
      </c>
      <c r="G662" s="36">
        <f t="shared" si="161"/>
        <v>4.1075485000000002E-2</v>
      </c>
      <c r="H662" s="36">
        <f>60353/1000000</f>
        <v>6.0352999999999997E-2</v>
      </c>
      <c r="I662" s="37">
        <f t="shared" si="162"/>
        <v>9.0529499999999988E-3</v>
      </c>
      <c r="J662" s="32">
        <f t="shared" si="153"/>
        <v>0.13428542499999999</v>
      </c>
      <c r="K662" s="33">
        <f t="shared" si="156"/>
        <v>2.0142813749999999E-2</v>
      </c>
      <c r="L662" s="33"/>
      <c r="O662" s="2">
        <f t="shared" si="157"/>
        <v>2.5147083333333334E-2</v>
      </c>
      <c r="P662" s="2">
        <f t="shared" si="158"/>
        <v>18.105900000000002</v>
      </c>
      <c r="Q662" s="7">
        <f t="shared" si="159"/>
        <v>82.001358695652186</v>
      </c>
      <c r="R662" s="2">
        <v>1.2</v>
      </c>
      <c r="S662" s="2">
        <f t="shared" si="154"/>
        <v>4.45</v>
      </c>
      <c r="T662" s="2"/>
      <c r="U662" s="2"/>
      <c r="Y662" s="8">
        <f t="shared" si="155"/>
        <v>2.9192483695652172</v>
      </c>
    </row>
    <row r="663" spans="1:25" x14ac:dyDescent="0.25">
      <c r="A663" s="34">
        <f t="shared" si="160"/>
        <v>655</v>
      </c>
      <c r="B663" s="35" t="e">
        <f t="shared" si="160"/>
        <v>#REF!</v>
      </c>
      <c r="C663" s="40" t="s">
        <v>184</v>
      </c>
      <c r="D663" s="35">
        <v>5</v>
      </c>
      <c r="E663" s="35"/>
      <c r="F663" s="36">
        <f>208505/1000000</f>
        <v>0.208505</v>
      </c>
      <c r="G663" s="36">
        <f t="shared" si="161"/>
        <v>4.1075485000000002E-2</v>
      </c>
      <c r="H663" s="36">
        <f>63298/1000000</f>
        <v>6.3297999999999993E-2</v>
      </c>
      <c r="I663" s="37">
        <f t="shared" si="162"/>
        <v>9.4946999999999983E-3</v>
      </c>
      <c r="J663" s="32">
        <f t="shared" si="153"/>
        <v>0.14083804999999999</v>
      </c>
      <c r="K663" s="33">
        <f t="shared" si="156"/>
        <v>2.1125707499999997E-2</v>
      </c>
      <c r="L663" s="33"/>
      <c r="O663" s="2">
        <f t="shared" si="157"/>
        <v>2.6374166666666664E-2</v>
      </c>
      <c r="P663" s="2">
        <f t="shared" si="158"/>
        <v>18.989399999999996</v>
      </c>
      <c r="Q663" s="7">
        <f t="shared" si="159"/>
        <v>86.00271739130433</v>
      </c>
      <c r="R663" s="2">
        <v>1.2</v>
      </c>
      <c r="S663" s="2">
        <f t="shared" si="154"/>
        <v>4.45</v>
      </c>
      <c r="T663" s="2"/>
      <c r="U663" s="2"/>
      <c r="Y663" s="8">
        <f t="shared" si="155"/>
        <v>3.0616967391304346</v>
      </c>
    </row>
    <row r="664" spans="1:25" x14ac:dyDescent="0.25">
      <c r="A664" s="34">
        <f t="shared" si="160"/>
        <v>656</v>
      </c>
      <c r="B664" s="35" t="e">
        <f t="shared" si="160"/>
        <v>#REF!</v>
      </c>
      <c r="C664" s="40" t="s">
        <v>184</v>
      </c>
      <c r="D664" s="35">
        <v>11</v>
      </c>
      <c r="E664" s="35">
        <v>1</v>
      </c>
      <c r="F664" s="36">
        <f>390780/1000000/2</f>
        <v>0.19539000000000001</v>
      </c>
      <c r="G664" s="36">
        <f t="shared" si="161"/>
        <v>3.8491830000000005E-2</v>
      </c>
      <c r="H664" s="36">
        <f>158976/1000000</f>
        <v>0.15897600000000001</v>
      </c>
      <c r="I664" s="37">
        <f t="shared" si="162"/>
        <v>2.38464E-2</v>
      </c>
      <c r="J664" s="32">
        <f t="shared" si="153"/>
        <v>0.29410560000000002</v>
      </c>
      <c r="K664" s="33">
        <f t="shared" si="156"/>
        <v>4.4115840000000003E-2</v>
      </c>
      <c r="L664" s="33"/>
      <c r="O664" s="2">
        <f t="shared" si="157"/>
        <v>6.6240000000000007E-2</v>
      </c>
      <c r="P664" s="2">
        <f t="shared" si="158"/>
        <v>47.692800000000005</v>
      </c>
      <c r="Q664" s="7">
        <f t="shared" si="159"/>
        <v>216.00000000000003</v>
      </c>
      <c r="R664" s="2">
        <v>1.2</v>
      </c>
      <c r="S664" s="2">
        <f t="shared" si="154"/>
        <v>3.7</v>
      </c>
      <c r="T664" s="2"/>
      <c r="U664" s="2"/>
      <c r="Y664" s="8">
        <f t="shared" si="155"/>
        <v>6.3936000000000002</v>
      </c>
    </row>
    <row r="665" spans="1:25" x14ac:dyDescent="0.25">
      <c r="A665" s="34">
        <f t="shared" si="160"/>
        <v>657</v>
      </c>
      <c r="B665" s="35" t="e">
        <f t="shared" si="160"/>
        <v>#REF!</v>
      </c>
      <c r="C665" s="40" t="s">
        <v>184</v>
      </c>
      <c r="D665" s="35">
        <v>11</v>
      </c>
      <c r="E665" s="35">
        <v>2</v>
      </c>
      <c r="F665" s="36">
        <f>390780/1000000/2</f>
        <v>0.19539000000000001</v>
      </c>
      <c r="G665" s="36">
        <f t="shared" si="161"/>
        <v>3.8491830000000005E-2</v>
      </c>
      <c r="H665" s="36"/>
      <c r="I665" s="37"/>
      <c r="J665" s="32">
        <f t="shared" si="153"/>
        <v>0</v>
      </c>
      <c r="K665" s="33">
        <f t="shared" si="156"/>
        <v>0</v>
      </c>
      <c r="L665" s="33"/>
      <c r="O665" s="2">
        <f t="shared" si="157"/>
        <v>0</v>
      </c>
      <c r="P665" s="2">
        <f t="shared" si="158"/>
        <v>0</v>
      </c>
      <c r="Q665" s="7">
        <f t="shared" si="159"/>
        <v>0</v>
      </c>
      <c r="R665" s="2">
        <v>1.2</v>
      </c>
      <c r="S665" s="2">
        <f t="shared" si="154"/>
        <v>4.45</v>
      </c>
      <c r="T665" s="2"/>
      <c r="U665" s="2"/>
      <c r="Y665" s="8">
        <f t="shared" si="155"/>
        <v>0</v>
      </c>
    </row>
    <row r="666" spans="1:25" x14ac:dyDescent="0.25">
      <c r="A666" s="34">
        <f t="shared" si="160"/>
        <v>658</v>
      </c>
      <c r="B666" s="35" t="e">
        <f t="shared" si="160"/>
        <v>#REF!</v>
      </c>
      <c r="C666" s="40" t="s">
        <v>185</v>
      </c>
      <c r="D666" s="35" t="s">
        <v>61</v>
      </c>
      <c r="E666" s="35"/>
      <c r="F666" s="36">
        <f>122618/1000000</f>
        <v>0.122618</v>
      </c>
      <c r="G666" s="36">
        <f t="shared" si="161"/>
        <v>2.4155746000000002E-2</v>
      </c>
      <c r="H666" s="36">
        <f>47102/1000000</f>
        <v>4.7101999999999998E-2</v>
      </c>
      <c r="I666" s="37">
        <f t="shared" ref="I666:I675" si="163">H666*0.15</f>
        <v>7.0652999999999992E-3</v>
      </c>
      <c r="J666" s="32">
        <f t="shared" si="153"/>
        <v>0.10480195</v>
      </c>
      <c r="K666" s="33">
        <f t="shared" si="156"/>
        <v>1.57202925E-2</v>
      </c>
      <c r="L666" s="33"/>
      <c r="O666" s="2">
        <f t="shared" si="157"/>
        <v>1.9625833333333332E-2</v>
      </c>
      <c r="P666" s="2">
        <f t="shared" si="158"/>
        <v>14.130599999999999</v>
      </c>
      <c r="Q666" s="7">
        <f t="shared" si="159"/>
        <v>63.997282608695649</v>
      </c>
      <c r="R666" s="2">
        <v>1.2</v>
      </c>
      <c r="S666" s="2">
        <f t="shared" si="154"/>
        <v>4.45</v>
      </c>
      <c r="T666" s="2"/>
      <c r="U666" s="2"/>
      <c r="Y666" s="8">
        <f t="shared" si="155"/>
        <v>2.2783032608695652</v>
      </c>
    </row>
    <row r="667" spans="1:25" x14ac:dyDescent="0.25">
      <c r="A667" s="34">
        <f t="shared" si="160"/>
        <v>659</v>
      </c>
      <c r="B667" s="35" t="e">
        <f t="shared" si="160"/>
        <v>#REF!</v>
      </c>
      <c r="C667" s="40" t="s">
        <v>185</v>
      </c>
      <c r="D667" s="35">
        <v>37</v>
      </c>
      <c r="E667" s="35"/>
      <c r="F667" s="36">
        <f>64508/1000000</f>
        <v>6.4507999999999996E-2</v>
      </c>
      <c r="G667" s="36">
        <f t="shared" si="161"/>
        <v>1.2708076E-2</v>
      </c>
      <c r="H667" s="36">
        <f>19872/1000000</f>
        <v>1.9872000000000001E-2</v>
      </c>
      <c r="I667" s="37">
        <f t="shared" si="163"/>
        <v>2.9808E-3</v>
      </c>
      <c r="J667" s="32">
        <f t="shared" si="153"/>
        <v>4.4215200000000003E-2</v>
      </c>
      <c r="K667" s="33">
        <f t="shared" si="156"/>
        <v>6.6322799999999999E-3</v>
      </c>
      <c r="L667" s="33"/>
      <c r="O667" s="2">
        <f t="shared" si="157"/>
        <v>8.2800000000000009E-3</v>
      </c>
      <c r="P667" s="2">
        <f t="shared" si="158"/>
        <v>5.9616000000000007</v>
      </c>
      <c r="Q667" s="7">
        <f t="shared" si="159"/>
        <v>27.000000000000004</v>
      </c>
      <c r="R667" s="2">
        <v>1.2</v>
      </c>
      <c r="S667" s="2">
        <f t="shared" si="154"/>
        <v>4.45</v>
      </c>
      <c r="T667" s="2"/>
      <c r="U667" s="2"/>
      <c r="Y667" s="8">
        <f t="shared" si="155"/>
        <v>0.96120000000000005</v>
      </c>
    </row>
    <row r="668" spans="1:25" x14ac:dyDescent="0.25">
      <c r="A668" s="34">
        <f t="shared" ref="A668:B683" si="164">A667+1</f>
        <v>660</v>
      </c>
      <c r="B668" s="35" t="e">
        <f t="shared" si="164"/>
        <v>#REF!</v>
      </c>
      <c r="C668" s="40" t="s">
        <v>185</v>
      </c>
      <c r="D668" s="35">
        <v>39</v>
      </c>
      <c r="E668" s="35"/>
      <c r="F668" s="36">
        <f>55130/1000000</f>
        <v>5.5129999999999998E-2</v>
      </c>
      <c r="G668" s="36">
        <f t="shared" si="161"/>
        <v>1.086061E-2</v>
      </c>
      <c r="H668" s="36">
        <f>19874/1000000</f>
        <v>1.9873999999999999E-2</v>
      </c>
      <c r="I668" s="37">
        <f t="shared" si="163"/>
        <v>2.9811E-3</v>
      </c>
      <c r="J668" s="32">
        <f t="shared" si="153"/>
        <v>4.4219649999999999E-2</v>
      </c>
      <c r="K668" s="33">
        <f t="shared" si="156"/>
        <v>6.6329474999999999E-3</v>
      </c>
      <c r="L668" s="33"/>
      <c r="O668" s="2">
        <f t="shared" si="157"/>
        <v>8.2808333333333328E-3</v>
      </c>
      <c r="P668" s="2">
        <f t="shared" si="158"/>
        <v>5.9621999999999993</v>
      </c>
      <c r="Q668" s="7">
        <f t="shared" si="159"/>
        <v>27.002717391304344</v>
      </c>
      <c r="R668" s="2">
        <v>1.2</v>
      </c>
      <c r="S668" s="2">
        <f t="shared" si="154"/>
        <v>4.45</v>
      </c>
      <c r="T668" s="2"/>
      <c r="U668" s="2"/>
      <c r="Y668" s="8">
        <f t="shared" si="155"/>
        <v>0.96129673913043479</v>
      </c>
    </row>
    <row r="669" spans="1:25" x14ac:dyDescent="0.25">
      <c r="A669" s="34">
        <f t="shared" si="164"/>
        <v>661</v>
      </c>
      <c r="B669" s="35" t="e">
        <f t="shared" si="164"/>
        <v>#REF!</v>
      </c>
      <c r="C669" s="40" t="s">
        <v>185</v>
      </c>
      <c r="D669" s="35">
        <v>41</v>
      </c>
      <c r="E669" s="35"/>
      <c r="F669" s="36">
        <f>65954/1000000</f>
        <v>6.5953999999999999E-2</v>
      </c>
      <c r="G669" s="36">
        <f t="shared" si="161"/>
        <v>1.2992938000000001E-2</v>
      </c>
      <c r="H669" s="36">
        <f>24286/1000000</f>
        <v>2.4285999999999999E-2</v>
      </c>
      <c r="I669" s="37">
        <f t="shared" si="163"/>
        <v>3.6428999999999997E-3</v>
      </c>
      <c r="J669" s="32">
        <f t="shared" si="153"/>
        <v>5.4036349999999997E-2</v>
      </c>
      <c r="K669" s="33">
        <f t="shared" si="156"/>
        <v>8.1054524999999988E-3</v>
      </c>
      <c r="L669" s="33"/>
      <c r="O669" s="2">
        <f t="shared" si="157"/>
        <v>1.0119166666666667E-2</v>
      </c>
      <c r="P669" s="2">
        <f t="shared" si="158"/>
        <v>7.2858000000000009</v>
      </c>
      <c r="Q669" s="7">
        <f t="shared" si="159"/>
        <v>32.997282608695656</v>
      </c>
      <c r="R669" s="2">
        <v>1.2</v>
      </c>
      <c r="S669" s="2">
        <f t="shared" si="154"/>
        <v>4.45</v>
      </c>
      <c r="T669" s="2"/>
      <c r="U669" s="2"/>
      <c r="Y669" s="8">
        <f t="shared" si="155"/>
        <v>1.1747032608695651</v>
      </c>
    </row>
    <row r="670" spans="1:25" x14ac:dyDescent="0.25">
      <c r="A670" s="34">
        <f t="shared" si="164"/>
        <v>662</v>
      </c>
      <c r="B670" s="35" t="e">
        <f t="shared" si="164"/>
        <v>#REF!</v>
      </c>
      <c r="C670" s="40" t="s">
        <v>185</v>
      </c>
      <c r="D670" s="35">
        <v>43</v>
      </c>
      <c r="E670" s="35"/>
      <c r="F670" s="36">
        <f>68964/1000000</f>
        <v>6.8963999999999998E-2</v>
      </c>
      <c r="G670" s="36">
        <f t="shared" si="161"/>
        <v>1.3585908000000001E-2</v>
      </c>
      <c r="H670" s="36">
        <f>35328/1000000</f>
        <v>3.5327999999999998E-2</v>
      </c>
      <c r="I670" s="37">
        <f t="shared" si="163"/>
        <v>5.2991999999999996E-3</v>
      </c>
      <c r="J670" s="32">
        <f t="shared" si="153"/>
        <v>7.8604800000000002E-2</v>
      </c>
      <c r="K670" s="33">
        <f t="shared" si="156"/>
        <v>1.1790719999999999E-2</v>
      </c>
      <c r="L670" s="33"/>
      <c r="O670" s="2">
        <f t="shared" si="157"/>
        <v>1.472E-2</v>
      </c>
      <c r="P670" s="2">
        <f t="shared" si="158"/>
        <v>10.598400000000002</v>
      </c>
      <c r="Q670" s="7">
        <f t="shared" si="159"/>
        <v>48.000000000000007</v>
      </c>
      <c r="R670" s="2">
        <v>1.2</v>
      </c>
      <c r="S670" s="2">
        <f t="shared" si="154"/>
        <v>4.45</v>
      </c>
      <c r="T670" s="2"/>
      <c r="U670" s="2"/>
      <c r="Y670" s="8">
        <f t="shared" si="155"/>
        <v>1.7088000000000001</v>
      </c>
    </row>
    <row r="671" spans="1:25" x14ac:dyDescent="0.25">
      <c r="A671" s="34">
        <f t="shared" si="164"/>
        <v>663</v>
      </c>
      <c r="B671" s="35" t="e">
        <f t="shared" si="164"/>
        <v>#REF!</v>
      </c>
      <c r="C671" s="40" t="s">
        <v>185</v>
      </c>
      <c r="D671" s="35" t="s">
        <v>186</v>
      </c>
      <c r="E671" s="35"/>
      <c r="F671" s="36">
        <f>203986/1000000</f>
        <v>0.203986</v>
      </c>
      <c r="G671" s="36">
        <f t="shared" si="161"/>
        <v>4.0185242000000003E-2</v>
      </c>
      <c r="H671" s="36">
        <f>156766/1000000</f>
        <v>0.15676599999999999</v>
      </c>
      <c r="I671" s="37">
        <f t="shared" si="163"/>
        <v>2.3514899999999998E-2</v>
      </c>
      <c r="J671" s="32">
        <f t="shared" si="153"/>
        <v>0.29001709999999997</v>
      </c>
      <c r="K671" s="33">
        <f t="shared" si="156"/>
        <v>4.3502564999999993E-2</v>
      </c>
      <c r="L671" s="33"/>
      <c r="O671" s="2">
        <f t="shared" si="157"/>
        <v>6.5319166666666664E-2</v>
      </c>
      <c r="P671" s="2">
        <f t="shared" si="158"/>
        <v>47.029800000000002</v>
      </c>
      <c r="Q671" s="7">
        <f t="shared" si="159"/>
        <v>212.99728260869566</v>
      </c>
      <c r="R671" s="2">
        <v>1.2</v>
      </c>
      <c r="S671" s="2">
        <f t="shared" si="154"/>
        <v>3.7</v>
      </c>
      <c r="T671" s="2"/>
      <c r="U671" s="2"/>
      <c r="Y671" s="8">
        <f t="shared" si="155"/>
        <v>6.3047195652173906</v>
      </c>
    </row>
    <row r="672" spans="1:25" x14ac:dyDescent="0.25">
      <c r="A672" s="34">
        <f t="shared" si="164"/>
        <v>664</v>
      </c>
      <c r="B672" s="35" t="e">
        <f t="shared" si="164"/>
        <v>#REF!</v>
      </c>
      <c r="C672" s="40" t="s">
        <v>187</v>
      </c>
      <c r="D672" s="35">
        <v>106</v>
      </c>
      <c r="E672" s="35"/>
      <c r="F672" s="36">
        <f>225292/1000000</f>
        <v>0.22529199999999999</v>
      </c>
      <c r="G672" s="36">
        <f t="shared" si="161"/>
        <v>4.4382524E-2</v>
      </c>
      <c r="H672" s="36">
        <f>105984/1000000</f>
        <v>0.10598399999999999</v>
      </c>
      <c r="I672" s="37">
        <f t="shared" si="163"/>
        <v>1.5897599999999998E-2</v>
      </c>
      <c r="J672" s="32">
        <f t="shared" si="153"/>
        <v>0.23581440000000001</v>
      </c>
      <c r="K672" s="33">
        <f t="shared" si="156"/>
        <v>3.537216E-2</v>
      </c>
      <c r="L672" s="33"/>
      <c r="O672" s="2">
        <f t="shared" si="157"/>
        <v>4.4159999999999998E-2</v>
      </c>
      <c r="P672" s="2">
        <f t="shared" si="158"/>
        <v>31.795199999999998</v>
      </c>
      <c r="Q672" s="7">
        <f t="shared" si="159"/>
        <v>144</v>
      </c>
      <c r="R672" s="2">
        <v>1.2</v>
      </c>
      <c r="S672" s="2">
        <f t="shared" si="154"/>
        <v>4.45</v>
      </c>
      <c r="T672" s="2"/>
      <c r="U672" s="2"/>
      <c r="Y672" s="8">
        <f t="shared" si="155"/>
        <v>5.1264000000000003</v>
      </c>
    </row>
    <row r="673" spans="1:25" x14ac:dyDescent="0.25">
      <c r="A673" s="34">
        <f t="shared" si="164"/>
        <v>665</v>
      </c>
      <c r="B673" s="35" t="e">
        <f t="shared" si="164"/>
        <v>#REF!</v>
      </c>
      <c r="C673" s="40" t="s">
        <v>187</v>
      </c>
      <c r="D673" s="35">
        <v>108</v>
      </c>
      <c r="E673" s="35"/>
      <c r="F673" s="36">
        <f>224103/1000000</f>
        <v>0.224103</v>
      </c>
      <c r="G673" s="36">
        <f t="shared" si="161"/>
        <v>4.4148290999999999E-2</v>
      </c>
      <c r="H673" s="36">
        <f>81696/1000000</f>
        <v>8.1696000000000005E-2</v>
      </c>
      <c r="I673" s="37">
        <f t="shared" si="163"/>
        <v>1.22544E-2</v>
      </c>
      <c r="J673" s="32">
        <f t="shared" si="153"/>
        <v>0.18177360000000001</v>
      </c>
      <c r="K673" s="33">
        <f t="shared" si="156"/>
        <v>2.7266040000000002E-2</v>
      </c>
      <c r="L673" s="33"/>
      <c r="O673" s="2">
        <f t="shared" si="157"/>
        <v>3.4040000000000001E-2</v>
      </c>
      <c r="P673" s="2">
        <f t="shared" si="158"/>
        <v>24.508800000000001</v>
      </c>
      <c r="Q673" s="7">
        <f t="shared" si="159"/>
        <v>111</v>
      </c>
      <c r="R673" s="2">
        <v>1.2</v>
      </c>
      <c r="S673" s="2">
        <f t="shared" si="154"/>
        <v>4.45</v>
      </c>
      <c r="T673" s="2"/>
      <c r="U673" s="2"/>
      <c r="Y673" s="8">
        <f t="shared" si="155"/>
        <v>3.9516000000000004</v>
      </c>
    </row>
    <row r="674" spans="1:25" x14ac:dyDescent="0.25">
      <c r="A674" s="34">
        <f t="shared" si="164"/>
        <v>666</v>
      </c>
      <c r="B674" s="35" t="e">
        <f t="shared" si="164"/>
        <v>#REF!</v>
      </c>
      <c r="C674" s="40" t="s">
        <v>188</v>
      </c>
      <c r="D674" s="35">
        <v>1</v>
      </c>
      <c r="E674" s="35"/>
      <c r="F674" s="36">
        <f>152215/1000000</f>
        <v>0.15221499999999999</v>
      </c>
      <c r="G674" s="36">
        <f t="shared" si="161"/>
        <v>2.9986354999999999E-2</v>
      </c>
      <c r="H674" s="36">
        <f>42688/1000000</f>
        <v>4.2687999999999997E-2</v>
      </c>
      <c r="I674" s="37">
        <f t="shared" si="163"/>
        <v>6.4031999999999995E-3</v>
      </c>
      <c r="J674" s="32">
        <f t="shared" si="153"/>
        <v>9.498079999999999E-2</v>
      </c>
      <c r="K674" s="33">
        <f t="shared" si="156"/>
        <v>1.4247119999999999E-2</v>
      </c>
      <c r="L674" s="33"/>
      <c r="O674" s="2">
        <f t="shared" si="157"/>
        <v>1.7786666666666666E-2</v>
      </c>
      <c r="P674" s="2">
        <f t="shared" si="158"/>
        <v>12.8064</v>
      </c>
      <c r="Q674" s="7">
        <f t="shared" si="159"/>
        <v>58</v>
      </c>
      <c r="R674" s="2">
        <v>1.2</v>
      </c>
      <c r="S674" s="2">
        <f t="shared" si="154"/>
        <v>4.45</v>
      </c>
      <c r="T674" s="2"/>
      <c r="U674" s="2"/>
      <c r="Y674" s="8">
        <f t="shared" si="155"/>
        <v>2.0648</v>
      </c>
    </row>
    <row r="675" spans="1:25" x14ac:dyDescent="0.25">
      <c r="A675" s="34">
        <f t="shared" si="164"/>
        <v>667</v>
      </c>
      <c r="B675" s="35" t="e">
        <f t="shared" si="164"/>
        <v>#REF!</v>
      </c>
      <c r="C675" s="40" t="s">
        <v>188</v>
      </c>
      <c r="D675" s="35">
        <v>3</v>
      </c>
      <c r="E675" s="35"/>
      <c r="F675" s="36">
        <f>80032/1000000</f>
        <v>8.0032000000000006E-2</v>
      </c>
      <c r="G675" s="36">
        <f t="shared" si="161"/>
        <v>1.5766304000000002E-2</v>
      </c>
      <c r="H675" s="36">
        <f>50784/1000000</f>
        <v>5.0784000000000003E-2</v>
      </c>
      <c r="I675" s="37">
        <f t="shared" si="163"/>
        <v>7.6176000000000004E-3</v>
      </c>
      <c r="J675" s="32">
        <f t="shared" si="153"/>
        <v>0.11299440000000001</v>
      </c>
      <c r="K675" s="33">
        <f t="shared" si="156"/>
        <v>1.6949160000000001E-2</v>
      </c>
      <c r="L675" s="33"/>
      <c r="O675" s="2">
        <f t="shared" si="157"/>
        <v>2.1160000000000002E-2</v>
      </c>
      <c r="P675" s="2">
        <f t="shared" si="158"/>
        <v>15.235200000000003</v>
      </c>
      <c r="Q675" s="7">
        <f t="shared" si="159"/>
        <v>69.000000000000014</v>
      </c>
      <c r="R675" s="2">
        <v>1.2</v>
      </c>
      <c r="S675" s="2">
        <f t="shared" si="154"/>
        <v>4.45</v>
      </c>
      <c r="T675" s="2"/>
      <c r="U675" s="2"/>
      <c r="Y675" s="8">
        <f t="shared" si="155"/>
        <v>2.4563999999999999</v>
      </c>
    </row>
    <row r="676" spans="1:25" x14ac:dyDescent="0.25">
      <c r="A676" s="34">
        <f t="shared" si="164"/>
        <v>668</v>
      </c>
      <c r="B676" s="35" t="e">
        <f t="shared" si="164"/>
        <v>#REF!</v>
      </c>
      <c r="C676" s="40" t="s">
        <v>188</v>
      </c>
      <c r="D676" s="35">
        <v>4</v>
      </c>
      <c r="E676" s="35"/>
      <c r="F676" s="36">
        <v>0.13059999999999999</v>
      </c>
      <c r="G676" s="36">
        <v>2.5700000000000001E-2</v>
      </c>
      <c r="H676" s="36">
        <v>9.7500000000000003E-2</v>
      </c>
      <c r="I676" s="37">
        <v>1.4619999999999999E-2</v>
      </c>
      <c r="J676" s="32">
        <f t="shared" si="153"/>
        <v>0.21693750000000001</v>
      </c>
      <c r="K676" s="33">
        <f t="shared" si="156"/>
        <v>3.2540624999999997E-2</v>
      </c>
      <c r="L676" s="33"/>
      <c r="O676" s="2">
        <f t="shared" si="157"/>
        <v>4.0625000000000001E-2</v>
      </c>
      <c r="P676" s="2">
        <f t="shared" si="158"/>
        <v>29.250000000000004</v>
      </c>
      <c r="Q676" s="7">
        <f t="shared" si="159"/>
        <v>132.47282608695653</v>
      </c>
      <c r="R676" s="2">
        <v>1.2</v>
      </c>
      <c r="S676" s="2">
        <f t="shared" si="154"/>
        <v>4.45</v>
      </c>
      <c r="T676" s="2"/>
      <c r="U676" s="2"/>
      <c r="Y676" s="8">
        <f t="shared" si="155"/>
        <v>4.7160326086956523</v>
      </c>
    </row>
    <row r="677" spans="1:25" x14ac:dyDescent="0.25">
      <c r="A677" s="34">
        <f t="shared" si="164"/>
        <v>669</v>
      </c>
      <c r="C677" s="40" t="s">
        <v>188</v>
      </c>
      <c r="D677" s="35">
        <v>5</v>
      </c>
      <c r="E677" s="35"/>
      <c r="F677" s="36">
        <f>160295/1000000</f>
        <v>0.16029499999999999</v>
      </c>
      <c r="G677" s="36">
        <f>F677*0.197</f>
        <v>3.1578114999999997E-2</v>
      </c>
      <c r="H677" s="36">
        <f>94208/1000000</f>
        <v>9.4208E-2</v>
      </c>
      <c r="I677" s="37">
        <f>H677*0.15</f>
        <v>1.41312E-2</v>
      </c>
      <c r="J677" s="32">
        <f t="shared" si="153"/>
        <v>0.20961280000000002</v>
      </c>
      <c r="K677" s="33">
        <f t="shared" si="156"/>
        <v>3.1441919999999998E-2</v>
      </c>
      <c r="L677" s="33"/>
      <c r="O677" s="2">
        <f t="shared" si="157"/>
        <v>3.9253333333333335E-2</v>
      </c>
      <c r="P677" s="2">
        <f t="shared" si="158"/>
        <v>28.2624</v>
      </c>
      <c r="Q677" s="7">
        <f t="shared" si="159"/>
        <v>128</v>
      </c>
      <c r="R677" s="2">
        <v>1.2</v>
      </c>
      <c r="S677" s="2">
        <f t="shared" si="154"/>
        <v>4.45</v>
      </c>
      <c r="T677" s="2"/>
      <c r="U677" s="2"/>
      <c r="Y677" s="8">
        <f t="shared" si="155"/>
        <v>4.5568000000000008</v>
      </c>
    </row>
    <row r="678" spans="1:25" x14ac:dyDescent="0.25">
      <c r="A678" s="34">
        <f t="shared" si="164"/>
        <v>670</v>
      </c>
      <c r="B678" s="35" t="e">
        <f>B676+1</f>
        <v>#REF!</v>
      </c>
      <c r="C678" s="40" t="s">
        <v>188</v>
      </c>
      <c r="D678" s="35">
        <v>9</v>
      </c>
      <c r="E678" s="35"/>
      <c r="F678" s="36">
        <f>149490/1000000</f>
        <v>0.14949000000000001</v>
      </c>
      <c r="G678" s="36">
        <f t="shared" ref="G678:G686" si="165">F678*0.197</f>
        <v>2.9449530000000005E-2</v>
      </c>
      <c r="H678" s="36">
        <f>68446/1000000</f>
        <v>6.8446000000000007E-2</v>
      </c>
      <c r="I678" s="37">
        <f t="shared" ref="I678:I686" si="166">H678*0.15</f>
        <v>1.0266900000000001E-2</v>
      </c>
      <c r="J678" s="32">
        <f t="shared" si="153"/>
        <v>0.15229235000000002</v>
      </c>
      <c r="K678" s="33">
        <f t="shared" si="156"/>
        <v>2.2843852500000001E-2</v>
      </c>
      <c r="L678" s="33"/>
      <c r="O678" s="2">
        <f t="shared" si="157"/>
        <v>2.8519166666666672E-2</v>
      </c>
      <c r="P678" s="2">
        <f t="shared" si="158"/>
        <v>20.533800000000003</v>
      </c>
      <c r="Q678" s="7">
        <f t="shared" si="159"/>
        <v>92.99728260869567</v>
      </c>
      <c r="R678" s="2">
        <v>1.2</v>
      </c>
      <c r="S678" s="2">
        <f t="shared" si="154"/>
        <v>4.45</v>
      </c>
      <c r="T678" s="2"/>
      <c r="U678" s="2"/>
      <c r="Y678" s="8">
        <f t="shared" si="155"/>
        <v>3.3107032608695657</v>
      </c>
    </row>
    <row r="679" spans="1:25" x14ac:dyDescent="0.25">
      <c r="A679" s="34">
        <f t="shared" si="164"/>
        <v>671</v>
      </c>
      <c r="B679" s="35" t="e">
        <f t="shared" si="164"/>
        <v>#REF!</v>
      </c>
      <c r="C679" s="40" t="s">
        <v>189</v>
      </c>
      <c r="D679" s="35">
        <v>1</v>
      </c>
      <c r="E679" s="35"/>
      <c r="F679" s="36">
        <f>141628/1000000</f>
        <v>0.141628</v>
      </c>
      <c r="G679" s="36">
        <f t="shared" si="165"/>
        <v>2.7900716000000002E-2</v>
      </c>
      <c r="H679" s="36">
        <f>59616/1000000</f>
        <v>5.9616000000000002E-2</v>
      </c>
      <c r="I679" s="37">
        <f t="shared" si="166"/>
        <v>8.9423999999999997E-3</v>
      </c>
      <c r="J679" s="32">
        <f t="shared" si="153"/>
        <v>0.1326456</v>
      </c>
      <c r="K679" s="33">
        <f t="shared" si="156"/>
        <v>1.9896839999999999E-2</v>
      </c>
      <c r="L679" s="33"/>
      <c r="O679" s="2">
        <f t="shared" si="157"/>
        <v>2.4840000000000001E-2</v>
      </c>
      <c r="P679" s="2">
        <f t="shared" si="158"/>
        <v>17.884800000000002</v>
      </c>
      <c r="Q679" s="7">
        <f t="shared" si="159"/>
        <v>81.000000000000014</v>
      </c>
      <c r="R679" s="2">
        <v>1.2</v>
      </c>
      <c r="S679" s="2">
        <f t="shared" si="154"/>
        <v>4.45</v>
      </c>
      <c r="T679" s="2"/>
      <c r="U679" s="2"/>
      <c r="Y679" s="8">
        <f t="shared" si="155"/>
        <v>2.8835999999999999</v>
      </c>
    </row>
    <row r="680" spans="1:25" x14ac:dyDescent="0.25">
      <c r="A680" s="34">
        <f t="shared" si="164"/>
        <v>672</v>
      </c>
      <c r="B680" s="35" t="e">
        <f t="shared" si="164"/>
        <v>#REF!</v>
      </c>
      <c r="C680" s="40" t="s">
        <v>189</v>
      </c>
      <c r="D680" s="35" t="s">
        <v>190</v>
      </c>
      <c r="E680" s="35"/>
      <c r="F680" s="36">
        <f>164394/1000000</f>
        <v>0.16439400000000001</v>
      </c>
      <c r="G680" s="36">
        <f t="shared" si="165"/>
        <v>3.2385618000000005E-2</v>
      </c>
      <c r="H680" s="36">
        <f>55200/1000000</f>
        <v>5.5199999999999999E-2</v>
      </c>
      <c r="I680" s="37">
        <f t="shared" si="166"/>
        <v>8.2799999999999992E-3</v>
      </c>
      <c r="J680" s="32">
        <f t="shared" si="153"/>
        <v>0.12282</v>
      </c>
      <c r="K680" s="33">
        <f t="shared" si="156"/>
        <v>1.8422999999999998E-2</v>
      </c>
      <c r="L680" s="33"/>
      <c r="O680" s="2">
        <f t="shared" si="157"/>
        <v>2.3E-2</v>
      </c>
      <c r="P680" s="2">
        <f t="shared" si="158"/>
        <v>16.560000000000002</v>
      </c>
      <c r="Q680" s="7">
        <f t="shared" si="159"/>
        <v>75.000000000000014</v>
      </c>
      <c r="R680" s="2">
        <v>1.2</v>
      </c>
      <c r="S680" s="2">
        <f t="shared" si="154"/>
        <v>4.45</v>
      </c>
      <c r="T680" s="2"/>
      <c r="U680" s="2"/>
      <c r="Y680" s="8">
        <f t="shared" si="155"/>
        <v>2.67</v>
      </c>
    </row>
    <row r="681" spans="1:25" x14ac:dyDescent="0.25">
      <c r="A681" s="34">
        <f t="shared" si="164"/>
        <v>673</v>
      </c>
      <c r="B681" s="35" t="e">
        <f t="shared" si="164"/>
        <v>#REF!</v>
      </c>
      <c r="C681" s="40" t="s">
        <v>189</v>
      </c>
      <c r="D681" s="35" t="s">
        <v>191</v>
      </c>
      <c r="E681" s="35"/>
      <c r="F681" s="36">
        <f>142983/1000000</f>
        <v>0.142983</v>
      </c>
      <c r="G681" s="36">
        <f t="shared" si="165"/>
        <v>2.8167651000000002E-2</v>
      </c>
      <c r="H681" s="36">
        <f>56672/1000000</f>
        <v>5.6672E-2</v>
      </c>
      <c r="I681" s="37">
        <f t="shared" si="166"/>
        <v>8.5007999999999993E-3</v>
      </c>
      <c r="J681" s="32">
        <f t="shared" si="153"/>
        <v>0.12609520000000002</v>
      </c>
      <c r="K681" s="33">
        <f t="shared" si="156"/>
        <v>1.8914280000000002E-2</v>
      </c>
      <c r="L681" s="33"/>
      <c r="O681" s="2">
        <f t="shared" si="157"/>
        <v>2.3613333333333333E-2</v>
      </c>
      <c r="P681" s="2">
        <f t="shared" si="158"/>
        <v>17.0016</v>
      </c>
      <c r="Q681" s="7">
        <f t="shared" si="159"/>
        <v>77</v>
      </c>
      <c r="R681" s="2">
        <v>1.2</v>
      </c>
      <c r="S681" s="2">
        <f t="shared" si="154"/>
        <v>4.45</v>
      </c>
      <c r="T681" s="2"/>
      <c r="U681" s="2"/>
      <c r="Y681" s="8">
        <f t="shared" si="155"/>
        <v>2.7412000000000005</v>
      </c>
    </row>
    <row r="682" spans="1:25" x14ac:dyDescent="0.25">
      <c r="A682" s="34">
        <f t="shared" si="164"/>
        <v>674</v>
      </c>
      <c r="B682" s="35" t="e">
        <f t="shared" si="164"/>
        <v>#REF!</v>
      </c>
      <c r="C682" s="40" t="s">
        <v>189</v>
      </c>
      <c r="D682" s="35">
        <v>14</v>
      </c>
      <c r="E682" s="35"/>
      <c r="F682" s="36">
        <f>171187/1000000</f>
        <v>0.17118700000000001</v>
      </c>
      <c r="G682" s="36">
        <f t="shared" si="165"/>
        <v>3.3723839000000005E-2</v>
      </c>
      <c r="H682" s="36">
        <f>72864/1000000</f>
        <v>7.2863999999999998E-2</v>
      </c>
      <c r="I682" s="37">
        <f t="shared" si="166"/>
        <v>1.0929599999999999E-2</v>
      </c>
      <c r="J682" s="32">
        <f t="shared" si="153"/>
        <v>0.1621224</v>
      </c>
      <c r="K682" s="33">
        <f t="shared" si="156"/>
        <v>2.4318360000000001E-2</v>
      </c>
      <c r="L682" s="33"/>
      <c r="O682" s="2">
        <f t="shared" si="157"/>
        <v>3.0360000000000002E-2</v>
      </c>
      <c r="P682" s="2">
        <f t="shared" si="158"/>
        <v>21.859200000000001</v>
      </c>
      <c r="Q682" s="7">
        <f t="shared" si="159"/>
        <v>99.000000000000014</v>
      </c>
      <c r="R682" s="2">
        <v>1.2</v>
      </c>
      <c r="S682" s="2">
        <f t="shared" si="154"/>
        <v>4.45</v>
      </c>
      <c r="T682" s="2"/>
      <c r="U682" s="2"/>
      <c r="Y682" s="8">
        <f t="shared" si="155"/>
        <v>3.5244</v>
      </c>
    </row>
    <row r="683" spans="1:25" x14ac:dyDescent="0.25">
      <c r="A683" s="34">
        <f t="shared" si="164"/>
        <v>675</v>
      </c>
      <c r="B683" s="35" t="e">
        <f t="shared" si="164"/>
        <v>#REF!</v>
      </c>
      <c r="C683" s="40" t="s">
        <v>189</v>
      </c>
      <c r="D683" s="35">
        <v>3</v>
      </c>
      <c r="E683" s="35">
        <v>1</v>
      </c>
      <c r="F683" s="36">
        <f>127054/1000000</f>
        <v>0.127054</v>
      </c>
      <c r="G683" s="36">
        <f t="shared" si="165"/>
        <v>2.5029638E-2</v>
      </c>
      <c r="H683" s="36">
        <f>62928/1000000</f>
        <v>6.2927999999999998E-2</v>
      </c>
      <c r="I683" s="37">
        <f t="shared" si="166"/>
        <v>9.4392E-3</v>
      </c>
      <c r="J683" s="32">
        <f t="shared" si="153"/>
        <v>0.14001479999999999</v>
      </c>
      <c r="K683" s="33">
        <f t="shared" si="156"/>
        <v>2.1002219999999999E-2</v>
      </c>
      <c r="L683" s="33"/>
      <c r="O683" s="2">
        <f t="shared" si="157"/>
        <v>2.622E-2</v>
      </c>
      <c r="P683" s="2">
        <f t="shared" si="158"/>
        <v>18.878400000000003</v>
      </c>
      <c r="Q683" s="7">
        <f t="shared" si="159"/>
        <v>85.500000000000014</v>
      </c>
      <c r="R683" s="2">
        <v>1.2</v>
      </c>
      <c r="S683" s="2">
        <f t="shared" si="154"/>
        <v>4.45</v>
      </c>
      <c r="T683" s="2"/>
      <c r="U683" s="2"/>
      <c r="Y683" s="8">
        <f t="shared" si="155"/>
        <v>3.0437999999999996</v>
      </c>
    </row>
    <row r="684" spans="1:25" x14ac:dyDescent="0.25">
      <c r="A684" s="34">
        <f t="shared" ref="A684:B699" si="167">A683+1</f>
        <v>676</v>
      </c>
      <c r="B684" s="35" t="e">
        <f t="shared" si="167"/>
        <v>#REF!</v>
      </c>
      <c r="C684" s="40" t="s">
        <v>189</v>
      </c>
      <c r="D684" s="35">
        <v>3</v>
      </c>
      <c r="E684" s="35">
        <v>2</v>
      </c>
      <c r="F684" s="36">
        <f>127054/1000000</f>
        <v>0.127054</v>
      </c>
      <c r="G684" s="36">
        <f t="shared" si="165"/>
        <v>2.5029638E-2</v>
      </c>
      <c r="H684" s="36">
        <f>62928/1000000</f>
        <v>6.2927999999999998E-2</v>
      </c>
      <c r="I684" s="37">
        <f t="shared" si="166"/>
        <v>9.4392E-3</v>
      </c>
      <c r="J684" s="32">
        <f t="shared" si="153"/>
        <v>0.14001479999999999</v>
      </c>
      <c r="K684" s="33">
        <f t="shared" si="156"/>
        <v>2.1002219999999999E-2</v>
      </c>
      <c r="L684" s="33"/>
      <c r="O684" s="2">
        <f t="shared" si="157"/>
        <v>2.622E-2</v>
      </c>
      <c r="P684" s="2">
        <f t="shared" si="158"/>
        <v>18.878400000000003</v>
      </c>
      <c r="Q684" s="7">
        <f t="shared" si="159"/>
        <v>85.500000000000014</v>
      </c>
      <c r="R684" s="2">
        <v>1.2</v>
      </c>
      <c r="S684" s="2">
        <f t="shared" si="154"/>
        <v>4.45</v>
      </c>
      <c r="T684" s="2"/>
      <c r="U684" s="2"/>
      <c r="Y684" s="8">
        <f t="shared" si="155"/>
        <v>3.0437999999999996</v>
      </c>
    </row>
    <row r="685" spans="1:25" x14ac:dyDescent="0.25">
      <c r="A685" s="34">
        <f t="shared" si="167"/>
        <v>677</v>
      </c>
      <c r="B685" s="35" t="e">
        <f t="shared" si="167"/>
        <v>#REF!</v>
      </c>
      <c r="C685" s="40" t="s">
        <v>189</v>
      </c>
      <c r="D685" s="35">
        <v>5</v>
      </c>
      <c r="E685" s="35">
        <v>1</v>
      </c>
      <c r="F685" s="36">
        <f>127946/1000000</f>
        <v>0.127946</v>
      </c>
      <c r="G685" s="36">
        <f t="shared" si="165"/>
        <v>2.5205362000000002E-2</v>
      </c>
      <c r="H685" s="36">
        <f>57408/1000000</f>
        <v>5.7408000000000001E-2</v>
      </c>
      <c r="I685" s="37">
        <f t="shared" si="166"/>
        <v>8.6111999999999994E-3</v>
      </c>
      <c r="J685" s="32">
        <f t="shared" si="153"/>
        <v>0.12773280000000001</v>
      </c>
      <c r="K685" s="33">
        <f t="shared" si="156"/>
        <v>1.915992E-2</v>
      </c>
      <c r="L685" s="33"/>
      <c r="O685" s="2">
        <f t="shared" si="157"/>
        <v>2.392E-2</v>
      </c>
      <c r="P685" s="2">
        <f t="shared" si="158"/>
        <v>17.2224</v>
      </c>
      <c r="Q685" s="7">
        <f t="shared" si="159"/>
        <v>78</v>
      </c>
      <c r="R685" s="2">
        <v>1.2</v>
      </c>
      <c r="S685" s="2">
        <f t="shared" si="154"/>
        <v>4.45</v>
      </c>
      <c r="T685" s="2"/>
      <c r="U685" s="2"/>
      <c r="Y685" s="8">
        <f t="shared" si="155"/>
        <v>2.7768000000000002</v>
      </c>
    </row>
    <row r="686" spans="1:25" x14ac:dyDescent="0.25">
      <c r="A686" s="34">
        <f t="shared" si="167"/>
        <v>678</v>
      </c>
      <c r="B686" s="35" t="e">
        <f t="shared" si="167"/>
        <v>#REF!</v>
      </c>
      <c r="C686" s="40" t="s">
        <v>189</v>
      </c>
      <c r="D686" s="35">
        <v>5</v>
      </c>
      <c r="E686" s="35">
        <v>2</v>
      </c>
      <c r="F686" s="36">
        <f>127946/1000000</f>
        <v>0.127946</v>
      </c>
      <c r="G686" s="36">
        <f t="shared" si="165"/>
        <v>2.5205362000000002E-2</v>
      </c>
      <c r="H686" s="36">
        <f>57408/1000000</f>
        <v>5.7408000000000001E-2</v>
      </c>
      <c r="I686" s="37">
        <f t="shared" si="166"/>
        <v>8.6111999999999994E-3</v>
      </c>
      <c r="J686" s="32">
        <f t="shared" si="153"/>
        <v>0.12773280000000001</v>
      </c>
      <c r="K686" s="33">
        <f t="shared" si="156"/>
        <v>1.915992E-2</v>
      </c>
      <c r="L686" s="33"/>
      <c r="O686" s="2">
        <f t="shared" si="157"/>
        <v>2.392E-2</v>
      </c>
      <c r="P686" s="2">
        <f t="shared" si="158"/>
        <v>17.2224</v>
      </c>
      <c r="Q686" s="7">
        <f t="shared" si="159"/>
        <v>78</v>
      </c>
      <c r="R686" s="2">
        <v>1.2</v>
      </c>
      <c r="S686" s="2">
        <f t="shared" si="154"/>
        <v>4.45</v>
      </c>
      <c r="T686" s="2"/>
      <c r="U686" s="2"/>
      <c r="Y686" s="8">
        <f t="shared" si="155"/>
        <v>2.7768000000000002</v>
      </c>
    </row>
    <row r="687" spans="1:25" x14ac:dyDescent="0.25">
      <c r="A687" s="34">
        <f t="shared" si="167"/>
        <v>679</v>
      </c>
      <c r="B687" s="35" t="e">
        <f t="shared" si="167"/>
        <v>#REF!</v>
      </c>
      <c r="C687" s="40" t="s">
        <v>189</v>
      </c>
      <c r="D687" s="35">
        <v>7</v>
      </c>
      <c r="E687" s="35"/>
      <c r="F687" s="36">
        <v>0.13339999999999999</v>
      </c>
      <c r="G687" s="36">
        <v>2.63E-2</v>
      </c>
      <c r="H687" s="36">
        <v>6.9000000000000006E-2</v>
      </c>
      <c r="I687" s="37">
        <v>1.04E-2</v>
      </c>
      <c r="J687" s="32">
        <f t="shared" si="153"/>
        <v>0.15352500000000002</v>
      </c>
      <c r="K687" s="33">
        <f t="shared" si="156"/>
        <v>2.3028750000000004E-2</v>
      </c>
      <c r="L687" s="33"/>
      <c r="O687" s="2">
        <f t="shared" si="157"/>
        <v>2.8750000000000005E-2</v>
      </c>
      <c r="P687" s="2">
        <f t="shared" si="158"/>
        <v>20.700000000000006</v>
      </c>
      <c r="Q687" s="7">
        <f t="shared" si="159"/>
        <v>93.750000000000028</v>
      </c>
      <c r="R687" s="2">
        <v>1.2</v>
      </c>
      <c r="S687" s="2">
        <f t="shared" si="154"/>
        <v>4.45</v>
      </c>
      <c r="T687" s="2"/>
      <c r="U687" s="2"/>
      <c r="Y687" s="8">
        <f t="shared" si="155"/>
        <v>3.3375000000000008</v>
      </c>
    </row>
    <row r="688" spans="1:25" x14ac:dyDescent="0.25">
      <c r="A688" s="34">
        <f t="shared" si="167"/>
        <v>680</v>
      </c>
      <c r="B688" s="35" t="e">
        <f t="shared" si="167"/>
        <v>#REF!</v>
      </c>
      <c r="C688" s="40" t="s">
        <v>189</v>
      </c>
      <c r="D688" s="35">
        <v>63</v>
      </c>
      <c r="E688" s="35"/>
      <c r="F688" s="36">
        <v>0.1643</v>
      </c>
      <c r="G688" s="36">
        <v>3.2399999999999998E-2</v>
      </c>
      <c r="H688" s="36">
        <v>7.6999999999999999E-2</v>
      </c>
      <c r="I688" s="37">
        <v>1.15E-2</v>
      </c>
      <c r="J688" s="32">
        <f t="shared" si="153"/>
        <v>0.17132500000000001</v>
      </c>
      <c r="K688" s="33">
        <f t="shared" si="156"/>
        <v>2.5698749999999999E-2</v>
      </c>
      <c r="L688" s="33"/>
      <c r="O688" s="2">
        <f t="shared" si="157"/>
        <v>3.2083333333333332E-2</v>
      </c>
      <c r="P688" s="2">
        <f t="shared" si="158"/>
        <v>23.1</v>
      </c>
      <c r="Q688" s="7">
        <f t="shared" si="159"/>
        <v>104.61956521739131</v>
      </c>
      <c r="R688" s="2">
        <v>1.2</v>
      </c>
      <c r="S688" s="2">
        <f t="shared" si="154"/>
        <v>4.45</v>
      </c>
      <c r="T688" s="2"/>
      <c r="U688" s="2"/>
      <c r="Y688" s="8">
        <f t="shared" si="155"/>
        <v>3.7244565217391306</v>
      </c>
    </row>
    <row r="689" spans="1:25" x14ac:dyDescent="0.25">
      <c r="A689" s="34">
        <f t="shared" si="167"/>
        <v>681</v>
      </c>
      <c r="B689" s="35" t="e">
        <f>#REF!+1</f>
        <v>#REF!</v>
      </c>
      <c r="C689" s="40" t="s">
        <v>192</v>
      </c>
      <c r="D689" s="35">
        <v>40</v>
      </c>
      <c r="E689" s="35"/>
      <c r="F689" s="36">
        <f>95736/1000000</f>
        <v>9.5736000000000002E-2</v>
      </c>
      <c r="G689" s="36">
        <f t="shared" ref="G689:G698" si="168">F689*0.197</f>
        <v>1.8859992000000003E-2</v>
      </c>
      <c r="H689" s="36">
        <f>30914/1000000</f>
        <v>3.0914000000000001E-2</v>
      </c>
      <c r="I689" s="37">
        <f t="shared" ref="I689:I699" si="169">H689*0.15</f>
        <v>4.6370999999999999E-3</v>
      </c>
      <c r="J689" s="32">
        <f t="shared" si="153"/>
        <v>6.8783650000000002E-2</v>
      </c>
      <c r="K689" s="33">
        <f t="shared" si="156"/>
        <v>1.03175475E-2</v>
      </c>
      <c r="L689" s="33"/>
      <c r="O689" s="2">
        <f t="shared" si="157"/>
        <v>1.2880833333333334E-2</v>
      </c>
      <c r="P689" s="2">
        <f t="shared" si="158"/>
        <v>9.2742000000000004</v>
      </c>
      <c r="Q689" s="7">
        <f t="shared" si="159"/>
        <v>42.002717391304351</v>
      </c>
      <c r="R689" s="2">
        <v>1.2</v>
      </c>
      <c r="S689" s="2">
        <f t="shared" si="154"/>
        <v>4.45</v>
      </c>
      <c r="T689" s="2"/>
      <c r="U689" s="2"/>
      <c r="Y689" s="8">
        <f t="shared" si="155"/>
        <v>1.4952967391304348</v>
      </c>
    </row>
    <row r="690" spans="1:25" x14ac:dyDescent="0.25">
      <c r="A690" s="34">
        <f t="shared" si="167"/>
        <v>682</v>
      </c>
      <c r="B690" s="35" t="e">
        <f t="shared" si="167"/>
        <v>#REF!</v>
      </c>
      <c r="C690" s="40" t="s">
        <v>192</v>
      </c>
      <c r="D690" s="35">
        <v>115</v>
      </c>
      <c r="E690" s="35"/>
      <c r="F690" s="36">
        <f>111482/1000000</f>
        <v>0.111482</v>
      </c>
      <c r="G690" s="36">
        <f t="shared" si="168"/>
        <v>2.1961953999999999E-2</v>
      </c>
      <c r="H690" s="36">
        <f>45634/1000000</f>
        <v>4.5634000000000001E-2</v>
      </c>
      <c r="I690" s="37">
        <f t="shared" si="169"/>
        <v>6.8450999999999998E-3</v>
      </c>
      <c r="J690" s="32">
        <f t="shared" si="153"/>
        <v>0.10153565000000001</v>
      </c>
      <c r="K690" s="33">
        <f t="shared" si="156"/>
        <v>1.52303475E-2</v>
      </c>
      <c r="L690" s="33"/>
      <c r="O690" s="2">
        <f t="shared" si="157"/>
        <v>1.9014166666666669E-2</v>
      </c>
      <c r="P690" s="2">
        <f t="shared" si="158"/>
        <v>13.690200000000003</v>
      </c>
      <c r="Q690" s="7">
        <f t="shared" si="159"/>
        <v>62.002717391304358</v>
      </c>
      <c r="R690" s="2">
        <v>1.2</v>
      </c>
      <c r="S690" s="2">
        <f t="shared" si="154"/>
        <v>4.45</v>
      </c>
      <c r="T690" s="2"/>
      <c r="U690" s="2"/>
      <c r="Y690" s="8">
        <f t="shared" si="155"/>
        <v>2.207296739130435</v>
      </c>
    </row>
    <row r="691" spans="1:25" x14ac:dyDescent="0.25">
      <c r="A691" s="34">
        <f t="shared" si="167"/>
        <v>683</v>
      </c>
      <c r="B691" s="35" t="e">
        <f t="shared" si="167"/>
        <v>#REF!</v>
      </c>
      <c r="C691" s="40" t="s">
        <v>192</v>
      </c>
      <c r="D691" s="35" t="s">
        <v>193</v>
      </c>
      <c r="E691" s="35"/>
      <c r="F691" s="36">
        <f>125548/1000000</f>
        <v>0.12554799999999999</v>
      </c>
      <c r="G691" s="36">
        <f t="shared" si="168"/>
        <v>2.4732956E-2</v>
      </c>
      <c r="H691" s="36">
        <f>26496/1000000</f>
        <v>2.6495999999999999E-2</v>
      </c>
      <c r="I691" s="37">
        <f t="shared" si="169"/>
        <v>3.9743999999999995E-3</v>
      </c>
      <c r="J691" s="32">
        <f t="shared" si="153"/>
        <v>5.8953600000000002E-2</v>
      </c>
      <c r="K691" s="33">
        <f t="shared" si="156"/>
        <v>8.8430399999999999E-3</v>
      </c>
      <c r="L691" s="33"/>
      <c r="O691" s="2">
        <f t="shared" si="157"/>
        <v>1.1039999999999999E-2</v>
      </c>
      <c r="P691" s="2">
        <f t="shared" si="158"/>
        <v>7.9487999999999994</v>
      </c>
      <c r="Q691" s="7">
        <f t="shared" si="159"/>
        <v>36</v>
      </c>
      <c r="R691" s="2">
        <v>1.2</v>
      </c>
      <c r="S691" s="2">
        <f t="shared" si="154"/>
        <v>4.45</v>
      </c>
      <c r="T691" s="2"/>
      <c r="U691" s="2"/>
      <c r="Y691" s="8">
        <f t="shared" si="155"/>
        <v>1.2816000000000001</v>
      </c>
    </row>
    <row r="692" spans="1:25" x14ac:dyDescent="0.25">
      <c r="A692" s="34">
        <f t="shared" si="167"/>
        <v>684</v>
      </c>
      <c r="B692" s="35" t="e">
        <f t="shared" si="167"/>
        <v>#REF!</v>
      </c>
      <c r="C692" s="40" t="s">
        <v>192</v>
      </c>
      <c r="D692" s="35">
        <v>119</v>
      </c>
      <c r="E692" s="35"/>
      <c r="F692" s="36">
        <f>109584/1000000</f>
        <v>0.109584</v>
      </c>
      <c r="G692" s="36">
        <f t="shared" si="168"/>
        <v>2.1588048000000002E-2</v>
      </c>
      <c r="H692" s="36">
        <f>41952/1000000</f>
        <v>4.1952000000000003E-2</v>
      </c>
      <c r="I692" s="37">
        <f t="shared" si="169"/>
        <v>6.2928000000000003E-3</v>
      </c>
      <c r="J692" s="32">
        <f t="shared" si="153"/>
        <v>9.3343200000000015E-2</v>
      </c>
      <c r="K692" s="33">
        <f t="shared" si="156"/>
        <v>1.4001480000000002E-2</v>
      </c>
      <c r="L692" s="33"/>
      <c r="O692" s="2">
        <f t="shared" si="157"/>
        <v>1.7480000000000002E-2</v>
      </c>
      <c r="P692" s="2">
        <f t="shared" si="158"/>
        <v>12.585600000000001</v>
      </c>
      <c r="Q692" s="7">
        <f t="shared" si="159"/>
        <v>57.000000000000007</v>
      </c>
      <c r="R692" s="2">
        <v>1.2</v>
      </c>
      <c r="S692" s="2">
        <f t="shared" si="154"/>
        <v>4.45</v>
      </c>
      <c r="T692" s="2"/>
      <c r="U692" s="2"/>
      <c r="Y692" s="8">
        <f t="shared" si="155"/>
        <v>2.0292000000000003</v>
      </c>
    </row>
    <row r="693" spans="1:25" x14ac:dyDescent="0.25">
      <c r="A693" s="34">
        <f t="shared" si="167"/>
        <v>685</v>
      </c>
      <c r="B693" s="35" t="e">
        <f t="shared" si="167"/>
        <v>#REF!</v>
      </c>
      <c r="C693" s="40" t="s">
        <v>194</v>
      </c>
      <c r="D693" s="35">
        <v>94</v>
      </c>
      <c r="E693" s="35"/>
      <c r="F693" s="36">
        <f>162790/1000000</f>
        <v>0.16278999999999999</v>
      </c>
      <c r="G693" s="36">
        <f t="shared" si="168"/>
        <v>3.2069630000000002E-2</v>
      </c>
      <c r="H693" s="36">
        <f>42686/1000000</f>
        <v>4.2686000000000002E-2</v>
      </c>
      <c r="I693" s="37">
        <f t="shared" si="169"/>
        <v>6.4029000000000004E-3</v>
      </c>
      <c r="J693" s="32">
        <f t="shared" si="153"/>
        <v>9.4976350000000001E-2</v>
      </c>
      <c r="K693" s="33">
        <f t="shared" si="156"/>
        <v>1.4246452499999999E-2</v>
      </c>
      <c r="L693" s="33"/>
      <c r="O693" s="2">
        <f t="shared" si="157"/>
        <v>1.7785833333333334E-2</v>
      </c>
      <c r="P693" s="2">
        <f t="shared" si="158"/>
        <v>12.805800000000001</v>
      </c>
      <c r="Q693" s="7">
        <f t="shared" si="159"/>
        <v>57.997282608695663</v>
      </c>
      <c r="R693" s="2">
        <v>1.2</v>
      </c>
      <c r="S693" s="2">
        <f t="shared" si="154"/>
        <v>4.45</v>
      </c>
      <c r="T693" s="2"/>
      <c r="U693" s="2"/>
      <c r="Y693" s="8">
        <f t="shared" si="155"/>
        <v>2.0647032608695652</v>
      </c>
    </row>
    <row r="694" spans="1:25" x14ac:dyDescent="0.25">
      <c r="A694" s="34">
        <f t="shared" si="167"/>
        <v>686</v>
      </c>
      <c r="B694" s="35" t="e">
        <f t="shared" si="167"/>
        <v>#REF!</v>
      </c>
      <c r="C694" s="40" t="s">
        <v>194</v>
      </c>
      <c r="D694" s="35" t="s">
        <v>195</v>
      </c>
      <c r="E694" s="35"/>
      <c r="F694" s="36">
        <f>200374/1000000</f>
        <v>0.200374</v>
      </c>
      <c r="G694" s="36">
        <f t="shared" si="168"/>
        <v>3.9473677999999998E-2</v>
      </c>
      <c r="H694" s="36">
        <f>44897/1000000</f>
        <v>4.4896999999999999E-2</v>
      </c>
      <c r="I694" s="37">
        <f t="shared" si="169"/>
        <v>6.7345499999999997E-3</v>
      </c>
      <c r="J694" s="32">
        <f t="shared" si="153"/>
        <v>9.9895825000000008E-2</v>
      </c>
      <c r="K694" s="33">
        <f t="shared" si="156"/>
        <v>1.498437375E-2</v>
      </c>
      <c r="L694" s="33"/>
      <c r="O694" s="2">
        <f t="shared" si="157"/>
        <v>1.8707083333333333E-2</v>
      </c>
      <c r="P694" s="2">
        <f t="shared" si="158"/>
        <v>13.469099999999999</v>
      </c>
      <c r="Q694" s="7">
        <f t="shared" si="159"/>
        <v>61.001358695652172</v>
      </c>
      <c r="R694" s="2">
        <v>1.2</v>
      </c>
      <c r="S694" s="2">
        <f t="shared" si="154"/>
        <v>4.45</v>
      </c>
      <c r="T694" s="2"/>
      <c r="U694" s="2"/>
      <c r="Y694" s="8">
        <f t="shared" si="155"/>
        <v>2.1716483695652173</v>
      </c>
    </row>
    <row r="695" spans="1:25" x14ac:dyDescent="0.25">
      <c r="A695" s="34">
        <f t="shared" si="167"/>
        <v>687</v>
      </c>
      <c r="B695" s="35" t="e">
        <f t="shared" si="167"/>
        <v>#REF!</v>
      </c>
      <c r="C695" s="40" t="s">
        <v>194</v>
      </c>
      <c r="D695" s="35" t="s">
        <v>196</v>
      </c>
      <c r="E695" s="35"/>
      <c r="F695" s="36">
        <f>217166/1000000</f>
        <v>0.217166</v>
      </c>
      <c r="G695" s="36">
        <f t="shared" si="168"/>
        <v>4.2781702000000005E-2</v>
      </c>
      <c r="H695" s="36">
        <f>66976/1000000</f>
        <v>6.6975999999999994E-2</v>
      </c>
      <c r="I695" s="37">
        <f t="shared" si="169"/>
        <v>1.0046399999999999E-2</v>
      </c>
      <c r="J695" s="32">
        <f t="shared" si="153"/>
        <v>0.1490216</v>
      </c>
      <c r="K695" s="33">
        <f t="shared" si="156"/>
        <v>2.235324E-2</v>
      </c>
      <c r="L695" s="33"/>
      <c r="O695" s="2">
        <f t="shared" si="157"/>
        <v>2.7906666666666666E-2</v>
      </c>
      <c r="P695" s="2">
        <f t="shared" si="158"/>
        <v>20.0928</v>
      </c>
      <c r="Q695" s="7">
        <f t="shared" si="159"/>
        <v>91</v>
      </c>
      <c r="R695" s="2">
        <v>1.2</v>
      </c>
      <c r="S695" s="2">
        <f t="shared" si="154"/>
        <v>4.45</v>
      </c>
      <c r="T695" s="2"/>
      <c r="U695" s="2"/>
      <c r="Y695" s="8">
        <f t="shared" si="155"/>
        <v>3.2395999999999998</v>
      </c>
    </row>
    <row r="696" spans="1:25" x14ac:dyDescent="0.25">
      <c r="A696" s="34">
        <f t="shared" si="167"/>
        <v>688</v>
      </c>
      <c r="B696" s="35" t="e">
        <f t="shared" si="167"/>
        <v>#REF!</v>
      </c>
      <c r="C696" s="40" t="s">
        <v>194</v>
      </c>
      <c r="D696" s="35" t="s">
        <v>197</v>
      </c>
      <c r="E696" s="35"/>
      <c r="F696" s="36">
        <f>150424/1000000</f>
        <v>0.150424</v>
      </c>
      <c r="G696" s="36">
        <f t="shared" si="168"/>
        <v>2.9633528000000003E-2</v>
      </c>
      <c r="H696" s="36">
        <f>79486/1000000</f>
        <v>7.9486000000000001E-2</v>
      </c>
      <c r="I696" s="37">
        <f t="shared" si="169"/>
        <v>1.19229E-2</v>
      </c>
      <c r="J696" s="32">
        <f t="shared" si="153"/>
        <v>0.17685635000000005</v>
      </c>
      <c r="K696" s="33">
        <f t="shared" si="156"/>
        <v>2.6528452500000008E-2</v>
      </c>
      <c r="L696" s="33"/>
      <c r="O696" s="2">
        <f t="shared" si="157"/>
        <v>3.3119166666666672E-2</v>
      </c>
      <c r="P696" s="2">
        <f t="shared" si="158"/>
        <v>23.845800000000004</v>
      </c>
      <c r="Q696" s="7">
        <f t="shared" si="159"/>
        <v>107.99728260869567</v>
      </c>
      <c r="R696" s="2">
        <v>1.2</v>
      </c>
      <c r="S696" s="2">
        <f t="shared" si="154"/>
        <v>4.45</v>
      </c>
      <c r="T696" s="2"/>
      <c r="U696" s="2"/>
      <c r="Y696" s="8">
        <f t="shared" si="155"/>
        <v>3.8447032608695664</v>
      </c>
    </row>
    <row r="697" spans="1:25" x14ac:dyDescent="0.25">
      <c r="A697" s="34">
        <f t="shared" si="167"/>
        <v>689</v>
      </c>
      <c r="B697" s="35" t="e">
        <f t="shared" si="167"/>
        <v>#REF!</v>
      </c>
      <c r="C697" s="40" t="s">
        <v>194</v>
      </c>
      <c r="D697" s="35">
        <v>98</v>
      </c>
      <c r="E697" s="35"/>
      <c r="F697" s="36">
        <f>149503/1000000</f>
        <v>0.149503</v>
      </c>
      <c r="G697" s="36">
        <f t="shared" si="168"/>
        <v>2.9452091E-2</v>
      </c>
      <c r="H697" s="36">
        <f>78754/1000000</f>
        <v>7.8754000000000005E-2</v>
      </c>
      <c r="I697" s="37">
        <f t="shared" si="169"/>
        <v>1.18131E-2</v>
      </c>
      <c r="J697" s="32">
        <f t="shared" si="153"/>
        <v>0.17522765000000001</v>
      </c>
      <c r="K697" s="33">
        <f t="shared" si="156"/>
        <v>2.62841475E-2</v>
      </c>
      <c r="L697" s="33"/>
      <c r="O697" s="2">
        <f t="shared" si="157"/>
        <v>3.2814166666666672E-2</v>
      </c>
      <c r="P697" s="2">
        <f t="shared" si="158"/>
        <v>23.626200000000004</v>
      </c>
      <c r="Q697" s="7">
        <f t="shared" si="159"/>
        <v>107.00271739130437</v>
      </c>
      <c r="R697" s="2">
        <v>1.2</v>
      </c>
      <c r="S697" s="2">
        <f t="shared" si="154"/>
        <v>4.45</v>
      </c>
      <c r="T697" s="2"/>
      <c r="U697" s="2"/>
      <c r="Y697" s="8">
        <f t="shared" si="155"/>
        <v>3.8092967391304349</v>
      </c>
    </row>
    <row r="698" spans="1:25" x14ac:dyDescent="0.25">
      <c r="A698" s="34">
        <f t="shared" si="167"/>
        <v>690</v>
      </c>
      <c r="B698" s="35" t="e">
        <f t="shared" si="167"/>
        <v>#REF!</v>
      </c>
      <c r="C698" s="40" t="s">
        <v>194</v>
      </c>
      <c r="D698" s="35" t="s">
        <v>198</v>
      </c>
      <c r="E698" s="35"/>
      <c r="F698" s="36">
        <f>148884/1000000</f>
        <v>0.14888399999999999</v>
      </c>
      <c r="G698" s="36">
        <f t="shared" si="168"/>
        <v>2.9330148E-2</v>
      </c>
      <c r="H698" s="36">
        <f>83167/1000000</f>
        <v>8.3167000000000005E-2</v>
      </c>
      <c r="I698" s="37">
        <f t="shared" si="169"/>
        <v>1.247505E-2</v>
      </c>
      <c r="J698" s="32">
        <f t="shared" si="153"/>
        <v>0.18504657500000002</v>
      </c>
      <c r="K698" s="33">
        <f t="shared" si="156"/>
        <v>2.7756986250000001E-2</v>
      </c>
      <c r="L698" s="33"/>
      <c r="O698" s="2">
        <f t="shared" si="157"/>
        <v>3.4652916666666672E-2</v>
      </c>
      <c r="P698" s="2">
        <f t="shared" si="158"/>
        <v>24.950100000000003</v>
      </c>
      <c r="Q698" s="7">
        <f t="shared" si="159"/>
        <v>112.99864130434784</v>
      </c>
      <c r="R698" s="2">
        <v>1.2</v>
      </c>
      <c r="S698" s="2">
        <f t="shared" si="154"/>
        <v>4.45</v>
      </c>
      <c r="T698" s="2"/>
      <c r="U698" s="2"/>
      <c r="Y698" s="8">
        <f t="shared" si="155"/>
        <v>4.022751630434783</v>
      </c>
    </row>
    <row r="699" spans="1:25" x14ac:dyDescent="0.25">
      <c r="A699" s="34">
        <f t="shared" si="167"/>
        <v>691</v>
      </c>
      <c r="B699" s="35" t="e">
        <f t="shared" si="167"/>
        <v>#REF!</v>
      </c>
      <c r="C699" s="40" t="s">
        <v>194</v>
      </c>
      <c r="D699" s="35" t="s">
        <v>199</v>
      </c>
      <c r="E699" s="35"/>
      <c r="F699" s="36">
        <v>0.17530000000000001</v>
      </c>
      <c r="G699" s="36">
        <v>3.9199999999999999E-2</v>
      </c>
      <c r="H699" s="36">
        <f>82433/1000000</f>
        <v>8.2433000000000006E-2</v>
      </c>
      <c r="I699" s="37">
        <f t="shared" si="169"/>
        <v>1.2364950000000001E-2</v>
      </c>
      <c r="J699" s="32">
        <f t="shared" si="153"/>
        <v>0.18341342500000005</v>
      </c>
      <c r="K699" s="33">
        <f t="shared" si="156"/>
        <v>2.7512013750000005E-2</v>
      </c>
      <c r="L699" s="33"/>
      <c r="O699" s="2">
        <f t="shared" si="157"/>
        <v>3.4347083333333341E-2</v>
      </c>
      <c r="P699" s="2">
        <f t="shared" si="158"/>
        <v>24.729900000000008</v>
      </c>
      <c r="Q699" s="7">
        <f t="shared" si="159"/>
        <v>112.00135869565221</v>
      </c>
      <c r="R699" s="2">
        <v>1.2</v>
      </c>
      <c r="S699" s="2">
        <f t="shared" si="154"/>
        <v>4.45</v>
      </c>
      <c r="T699" s="2"/>
      <c r="U699" s="2"/>
      <c r="Y699" s="8">
        <f t="shared" si="155"/>
        <v>3.9872483695652186</v>
      </c>
    </row>
    <row r="700" spans="1:25" x14ac:dyDescent="0.25">
      <c r="A700" s="34">
        <f t="shared" ref="A700:B715" si="170">A699+1</f>
        <v>692</v>
      </c>
      <c r="B700" s="35" t="e">
        <f t="shared" si="170"/>
        <v>#REF!</v>
      </c>
      <c r="C700" s="40" t="s">
        <v>194</v>
      </c>
      <c r="D700" s="35" t="s">
        <v>200</v>
      </c>
      <c r="E700" s="35"/>
      <c r="F700" s="36">
        <v>0.15890000000000001</v>
      </c>
      <c r="G700" s="36">
        <v>3.5299999999999998E-2</v>
      </c>
      <c r="H700" s="36">
        <v>7.6399999999999996E-2</v>
      </c>
      <c r="I700" s="37">
        <v>1.17E-2</v>
      </c>
      <c r="J700" s="32">
        <f t="shared" si="153"/>
        <v>0.16999</v>
      </c>
      <c r="K700" s="33">
        <f t="shared" si="156"/>
        <v>2.54985E-2</v>
      </c>
      <c r="L700" s="33"/>
      <c r="O700" s="2">
        <f t="shared" si="157"/>
        <v>3.1833333333333332E-2</v>
      </c>
      <c r="P700" s="2">
        <f t="shared" si="158"/>
        <v>22.92</v>
      </c>
      <c r="Q700" s="7">
        <f t="shared" si="159"/>
        <v>103.80434782608697</v>
      </c>
      <c r="R700" s="2">
        <v>1.2</v>
      </c>
      <c r="S700" s="2">
        <f t="shared" si="154"/>
        <v>4.45</v>
      </c>
      <c r="T700" s="2"/>
      <c r="U700" s="2"/>
      <c r="Y700" s="8">
        <f t="shared" si="155"/>
        <v>3.6954347826086957</v>
      </c>
    </row>
    <row r="701" spans="1:25" x14ac:dyDescent="0.25">
      <c r="A701" s="34">
        <f t="shared" si="170"/>
        <v>693</v>
      </c>
      <c r="B701" s="35" t="e">
        <f t="shared" si="170"/>
        <v>#REF!</v>
      </c>
      <c r="C701" s="40" t="s">
        <v>194</v>
      </c>
      <c r="D701" s="35">
        <v>100</v>
      </c>
      <c r="E701" s="35"/>
      <c r="F701" s="36">
        <f>147851/1000000</f>
        <v>0.14785100000000001</v>
      </c>
      <c r="G701" s="36">
        <f t="shared" ref="G701:G707" si="171">F701*0.197</f>
        <v>2.9126647000000002E-2</v>
      </c>
      <c r="H701" s="36">
        <f>50047/1000000</f>
        <v>5.0047000000000001E-2</v>
      </c>
      <c r="I701" s="37">
        <f t="shared" ref="I701:I707" si="172">H701*0.15</f>
        <v>7.5070499999999995E-3</v>
      </c>
      <c r="J701" s="32">
        <f t="shared" si="153"/>
        <v>0.11135457500000001</v>
      </c>
      <c r="K701" s="33">
        <f t="shared" si="156"/>
        <v>1.6703186250000002E-2</v>
      </c>
      <c r="L701" s="33"/>
      <c r="O701" s="2">
        <f t="shared" si="157"/>
        <v>2.0852916666666669E-2</v>
      </c>
      <c r="P701" s="2">
        <f t="shared" si="158"/>
        <v>15.014100000000003</v>
      </c>
      <c r="Q701" s="7">
        <f t="shared" si="159"/>
        <v>67.998641304347842</v>
      </c>
      <c r="R701" s="2">
        <v>1.2</v>
      </c>
      <c r="S701" s="2">
        <f t="shared" si="154"/>
        <v>4.45</v>
      </c>
      <c r="T701" s="2"/>
      <c r="U701" s="2"/>
      <c r="Y701" s="8">
        <f t="shared" si="155"/>
        <v>2.4207516304347831</v>
      </c>
    </row>
    <row r="702" spans="1:25" x14ac:dyDescent="0.25">
      <c r="A702" s="34">
        <f t="shared" si="170"/>
        <v>694</v>
      </c>
      <c r="B702" s="35" t="e">
        <f t="shared" si="170"/>
        <v>#REF!</v>
      </c>
      <c r="C702" s="40" t="s">
        <v>194</v>
      </c>
      <c r="D702" s="35">
        <v>106</v>
      </c>
      <c r="E702" s="35"/>
      <c r="F702" s="36">
        <f>150540/1000000</f>
        <v>0.15054000000000001</v>
      </c>
      <c r="G702" s="36">
        <f t="shared" si="171"/>
        <v>2.9656380000000003E-2</v>
      </c>
      <c r="H702" s="36">
        <f>69182/1000000</f>
        <v>6.9181999999999994E-2</v>
      </c>
      <c r="I702" s="37">
        <f t="shared" si="172"/>
        <v>1.0377299999999999E-2</v>
      </c>
      <c r="J702" s="32">
        <f t="shared" si="153"/>
        <v>0.15392994999999998</v>
      </c>
      <c r="K702" s="33">
        <f t="shared" si="156"/>
        <v>2.3089492499999996E-2</v>
      </c>
      <c r="L702" s="33"/>
      <c r="O702" s="2">
        <f t="shared" si="157"/>
        <v>2.8825833333333332E-2</v>
      </c>
      <c r="P702" s="2">
        <f t="shared" si="158"/>
        <v>20.7546</v>
      </c>
      <c r="Q702" s="7">
        <f t="shared" si="159"/>
        <v>93.997282608695656</v>
      </c>
      <c r="R702" s="2">
        <v>1.2</v>
      </c>
      <c r="S702" s="2">
        <f t="shared" si="154"/>
        <v>4.45</v>
      </c>
      <c r="T702" s="2"/>
      <c r="U702" s="2"/>
      <c r="Y702" s="8">
        <f t="shared" si="155"/>
        <v>3.3463032608695649</v>
      </c>
    </row>
    <row r="703" spans="1:25" x14ac:dyDescent="0.25">
      <c r="A703" s="34">
        <f t="shared" si="170"/>
        <v>695</v>
      </c>
      <c r="B703" s="35" t="e">
        <f t="shared" si="170"/>
        <v>#REF!</v>
      </c>
      <c r="C703" s="40" t="s">
        <v>194</v>
      </c>
      <c r="D703" s="35" t="s">
        <v>201</v>
      </c>
      <c r="E703" s="35"/>
      <c r="F703" s="36">
        <f>162200/1000000</f>
        <v>0.16220000000000001</v>
      </c>
      <c r="G703" s="36">
        <f t="shared" si="171"/>
        <v>3.1953400000000007E-2</v>
      </c>
      <c r="H703" s="36">
        <f>79486/1000000</f>
        <v>7.9486000000000001E-2</v>
      </c>
      <c r="I703" s="37">
        <f t="shared" si="172"/>
        <v>1.19229E-2</v>
      </c>
      <c r="J703" s="32">
        <f t="shared" si="153"/>
        <v>0.17685635000000005</v>
      </c>
      <c r="K703" s="33">
        <f t="shared" si="156"/>
        <v>2.6528452500000008E-2</v>
      </c>
      <c r="L703" s="33"/>
      <c r="O703" s="2">
        <f t="shared" si="157"/>
        <v>3.3119166666666672E-2</v>
      </c>
      <c r="P703" s="2">
        <f t="shared" si="158"/>
        <v>23.845800000000004</v>
      </c>
      <c r="Q703" s="7">
        <f t="shared" si="159"/>
        <v>107.99728260869567</v>
      </c>
      <c r="R703" s="2">
        <v>1.2</v>
      </c>
      <c r="S703" s="2">
        <f t="shared" si="154"/>
        <v>4.45</v>
      </c>
      <c r="T703" s="2"/>
      <c r="U703" s="2"/>
      <c r="Y703" s="8">
        <f t="shared" si="155"/>
        <v>3.8447032608695664</v>
      </c>
    </row>
    <row r="704" spans="1:25" x14ac:dyDescent="0.25">
      <c r="A704" s="34">
        <f t="shared" si="170"/>
        <v>696</v>
      </c>
      <c r="B704" s="35" t="e">
        <f t="shared" si="170"/>
        <v>#REF!</v>
      </c>
      <c r="C704" s="40" t="s">
        <v>194</v>
      </c>
      <c r="D704" s="35">
        <v>108</v>
      </c>
      <c r="E704" s="35"/>
      <c r="F704" s="36">
        <f>58793/1000000</f>
        <v>5.8792999999999998E-2</v>
      </c>
      <c r="G704" s="36">
        <f t="shared" si="171"/>
        <v>1.1582221E-2</v>
      </c>
      <c r="H704" s="36">
        <f>29440/1000000</f>
        <v>2.9440000000000001E-2</v>
      </c>
      <c r="I704" s="37">
        <f t="shared" si="172"/>
        <v>4.4159999999999998E-3</v>
      </c>
      <c r="J704" s="32">
        <f t="shared" si="153"/>
        <v>6.5504000000000007E-2</v>
      </c>
      <c r="K704" s="33">
        <f t="shared" si="156"/>
        <v>9.8256000000000003E-3</v>
      </c>
      <c r="L704" s="33"/>
      <c r="O704" s="2">
        <f t="shared" si="157"/>
        <v>1.2266666666666667E-2</v>
      </c>
      <c r="P704" s="2">
        <f t="shared" si="158"/>
        <v>8.8320000000000007</v>
      </c>
      <c r="Q704" s="7">
        <f t="shared" si="159"/>
        <v>40.000000000000007</v>
      </c>
      <c r="R704" s="2">
        <v>1.2</v>
      </c>
      <c r="S704" s="2">
        <f t="shared" si="154"/>
        <v>4.45</v>
      </c>
      <c r="T704" s="2"/>
      <c r="U704" s="2"/>
      <c r="Y704" s="8">
        <f t="shared" si="155"/>
        <v>1.4240000000000002</v>
      </c>
    </row>
    <row r="705" spans="1:25" x14ac:dyDescent="0.25">
      <c r="A705" s="34">
        <f t="shared" si="170"/>
        <v>697</v>
      </c>
      <c r="B705" s="35" t="e">
        <f t="shared" si="170"/>
        <v>#REF!</v>
      </c>
      <c r="C705" s="40" t="s">
        <v>194</v>
      </c>
      <c r="D705" s="35" t="s">
        <v>202</v>
      </c>
      <c r="E705" s="35"/>
      <c r="F705" s="36">
        <f>82480/1000000</f>
        <v>8.2479999999999998E-2</v>
      </c>
      <c r="G705" s="36">
        <f t="shared" si="171"/>
        <v>1.6248559999999999E-2</v>
      </c>
      <c r="H705" s="36">
        <f>38273/1000000</f>
        <v>3.8273000000000001E-2</v>
      </c>
      <c r="I705" s="37">
        <f t="shared" si="172"/>
        <v>5.7409499999999999E-3</v>
      </c>
      <c r="J705" s="32">
        <f t="shared" si="153"/>
        <v>8.5157425000000009E-2</v>
      </c>
      <c r="K705" s="33">
        <f t="shared" si="156"/>
        <v>1.2773613750000001E-2</v>
      </c>
      <c r="L705" s="33"/>
      <c r="O705" s="2">
        <f t="shared" si="157"/>
        <v>1.5947083333333334E-2</v>
      </c>
      <c r="P705" s="2">
        <f t="shared" si="158"/>
        <v>11.4819</v>
      </c>
      <c r="Q705" s="7">
        <f t="shared" si="159"/>
        <v>52.001358695652172</v>
      </c>
      <c r="R705" s="2">
        <v>1.2</v>
      </c>
      <c r="S705" s="2">
        <f t="shared" si="154"/>
        <v>4.45</v>
      </c>
      <c r="T705" s="2"/>
      <c r="U705" s="2"/>
      <c r="Y705" s="8">
        <f t="shared" si="155"/>
        <v>1.8512483695652175</v>
      </c>
    </row>
    <row r="706" spans="1:25" x14ac:dyDescent="0.25">
      <c r="A706" s="34">
        <f t="shared" si="170"/>
        <v>698</v>
      </c>
      <c r="B706" s="35" t="e">
        <f t="shared" si="170"/>
        <v>#REF!</v>
      </c>
      <c r="C706" s="40" t="s">
        <v>194</v>
      </c>
      <c r="D706" s="35">
        <v>110</v>
      </c>
      <c r="E706" s="35"/>
      <c r="F706" s="36">
        <f>96629/1000000</f>
        <v>9.6629000000000007E-2</v>
      </c>
      <c r="G706" s="36">
        <f t="shared" si="171"/>
        <v>1.9035913000000002E-2</v>
      </c>
      <c r="H706" s="36">
        <f>46368/1000000</f>
        <v>4.6367999999999999E-2</v>
      </c>
      <c r="I706" s="37">
        <f t="shared" si="172"/>
        <v>6.9551999999999999E-3</v>
      </c>
      <c r="J706" s="32">
        <f t="shared" si="153"/>
        <v>0.1031688</v>
      </c>
      <c r="K706" s="33">
        <f t="shared" si="156"/>
        <v>1.5475320000000001E-2</v>
      </c>
      <c r="L706" s="33"/>
      <c r="O706" s="2">
        <f t="shared" si="157"/>
        <v>1.932E-2</v>
      </c>
      <c r="P706" s="2">
        <f t="shared" si="158"/>
        <v>13.910399999999999</v>
      </c>
      <c r="Q706" s="7">
        <f t="shared" si="159"/>
        <v>63</v>
      </c>
      <c r="R706" s="2">
        <v>1.2</v>
      </c>
      <c r="S706" s="2">
        <f t="shared" si="154"/>
        <v>4.45</v>
      </c>
      <c r="T706" s="2"/>
      <c r="U706" s="2"/>
      <c r="Y706" s="8">
        <f t="shared" si="155"/>
        <v>2.2427999999999999</v>
      </c>
    </row>
    <row r="707" spans="1:25" x14ac:dyDescent="0.25">
      <c r="A707" s="34">
        <f t="shared" si="170"/>
        <v>699</v>
      </c>
      <c r="B707" s="35" t="e">
        <f t="shared" si="170"/>
        <v>#REF!</v>
      </c>
      <c r="C707" s="40" t="s">
        <v>194</v>
      </c>
      <c r="D707" s="35" t="s">
        <v>203</v>
      </c>
      <c r="E707" s="35"/>
      <c r="F707" s="36">
        <f>977750/1000000</f>
        <v>0.97775000000000001</v>
      </c>
      <c r="G707" s="36">
        <f t="shared" si="171"/>
        <v>0.19261675</v>
      </c>
      <c r="H707" s="36">
        <f>45632/1000000</f>
        <v>4.5631999999999999E-2</v>
      </c>
      <c r="I707" s="37">
        <f t="shared" si="172"/>
        <v>6.8447999999999998E-3</v>
      </c>
      <c r="J707" s="32">
        <f t="shared" si="153"/>
        <v>0.1015312</v>
      </c>
      <c r="K707" s="33">
        <f t="shared" si="156"/>
        <v>1.5229679999999999E-2</v>
      </c>
      <c r="L707" s="33"/>
      <c r="O707" s="2">
        <f t="shared" si="157"/>
        <v>1.9013333333333333E-2</v>
      </c>
      <c r="P707" s="2">
        <f t="shared" si="158"/>
        <v>13.6896</v>
      </c>
      <c r="Q707" s="7">
        <f t="shared" si="159"/>
        <v>62</v>
      </c>
      <c r="R707" s="2">
        <v>1.2</v>
      </c>
      <c r="S707" s="2">
        <f t="shared" si="154"/>
        <v>4.45</v>
      </c>
      <c r="T707" s="2"/>
      <c r="U707" s="2"/>
      <c r="Y707" s="8">
        <f t="shared" si="155"/>
        <v>2.2071999999999998</v>
      </c>
    </row>
    <row r="708" spans="1:25" x14ac:dyDescent="0.25">
      <c r="A708" s="34">
        <f t="shared" si="170"/>
        <v>700</v>
      </c>
      <c r="B708" s="35" t="e">
        <f t="shared" si="170"/>
        <v>#REF!</v>
      </c>
      <c r="C708" s="40" t="s">
        <v>194</v>
      </c>
      <c r="D708" s="35">
        <v>125</v>
      </c>
      <c r="E708" s="35"/>
      <c r="F708" s="36">
        <v>0.15359999999999999</v>
      </c>
      <c r="G708" s="36">
        <v>3.7999999999999999E-2</v>
      </c>
      <c r="H708" s="36">
        <v>8.2000000000000003E-2</v>
      </c>
      <c r="I708" s="37">
        <v>1.46E-2</v>
      </c>
      <c r="J708" s="32">
        <f t="shared" si="153"/>
        <v>0.18245</v>
      </c>
      <c r="K708" s="33">
        <f t="shared" si="156"/>
        <v>2.7367499999999999E-2</v>
      </c>
      <c r="L708" s="24" t="s">
        <v>16</v>
      </c>
      <c r="O708" s="2">
        <f t="shared" si="157"/>
        <v>3.4166666666666672E-2</v>
      </c>
      <c r="P708" s="2">
        <f t="shared" si="158"/>
        <v>24.6</v>
      </c>
      <c r="Q708" s="7">
        <f t="shared" si="159"/>
        <v>111.41304347826087</v>
      </c>
      <c r="R708" s="2">
        <v>1.2</v>
      </c>
      <c r="S708" s="2">
        <f t="shared" si="154"/>
        <v>4.45</v>
      </c>
      <c r="T708" s="2"/>
      <c r="U708" s="2"/>
      <c r="Y708" s="8">
        <f t="shared" si="155"/>
        <v>3.9663043478260867</v>
      </c>
    </row>
    <row r="709" spans="1:25" x14ac:dyDescent="0.25">
      <c r="A709" s="34">
        <f t="shared" si="170"/>
        <v>701</v>
      </c>
      <c r="B709" s="35" t="e">
        <f t="shared" si="170"/>
        <v>#REF!</v>
      </c>
      <c r="C709" s="40" t="s">
        <v>194</v>
      </c>
      <c r="D709" s="35">
        <v>128</v>
      </c>
      <c r="E709" s="35"/>
      <c r="F709" s="36">
        <f>85130/1000000</f>
        <v>8.5129999999999997E-2</v>
      </c>
      <c r="G709" s="36">
        <f t="shared" ref="G709:G720" si="173">F709*0.197</f>
        <v>1.6770610000000002E-2</v>
      </c>
      <c r="H709" s="36">
        <f>39744/1000000</f>
        <v>3.9744000000000002E-2</v>
      </c>
      <c r="I709" s="37">
        <f t="shared" ref="I709:I720" si="174">H709*0.15</f>
        <v>5.9616000000000001E-3</v>
      </c>
      <c r="J709" s="32">
        <f t="shared" si="153"/>
        <v>8.8430400000000006E-2</v>
      </c>
      <c r="K709" s="33">
        <f t="shared" si="156"/>
        <v>1.326456E-2</v>
      </c>
      <c r="L709" s="33"/>
      <c r="O709" s="2">
        <f t="shared" si="157"/>
        <v>1.6560000000000002E-2</v>
      </c>
      <c r="P709" s="2">
        <f t="shared" si="158"/>
        <v>11.923200000000001</v>
      </c>
      <c r="Q709" s="7">
        <f t="shared" si="159"/>
        <v>54.000000000000007</v>
      </c>
      <c r="R709" s="2">
        <v>1.2</v>
      </c>
      <c r="S709" s="2">
        <f t="shared" si="154"/>
        <v>4.45</v>
      </c>
      <c r="T709" s="2"/>
      <c r="U709" s="2"/>
      <c r="Y709" s="8">
        <f t="shared" si="155"/>
        <v>1.9224000000000001</v>
      </c>
    </row>
    <row r="710" spans="1:25" x14ac:dyDescent="0.25">
      <c r="A710" s="34">
        <f t="shared" si="170"/>
        <v>702</v>
      </c>
      <c r="B710" s="35" t="e">
        <f t="shared" si="170"/>
        <v>#REF!</v>
      </c>
      <c r="C710" s="40" t="s">
        <v>194</v>
      </c>
      <c r="D710" s="35">
        <v>132</v>
      </c>
      <c r="E710" s="35"/>
      <c r="F710" s="36">
        <f>49590/1000000</f>
        <v>4.9590000000000002E-2</v>
      </c>
      <c r="G710" s="36">
        <f t="shared" si="173"/>
        <v>9.7692300000000003E-3</v>
      </c>
      <c r="H710" s="36">
        <f>23554/1000000</f>
        <v>2.3553999999999999E-2</v>
      </c>
      <c r="I710" s="37">
        <f t="shared" si="174"/>
        <v>3.5330999999999995E-3</v>
      </c>
      <c r="J710" s="32">
        <f t="shared" si="153"/>
        <v>5.2407650000000007E-2</v>
      </c>
      <c r="K710" s="33">
        <f t="shared" si="156"/>
        <v>7.8611475000000004E-3</v>
      </c>
      <c r="L710" s="24" t="s">
        <v>16</v>
      </c>
      <c r="O710" s="2">
        <f t="shared" si="157"/>
        <v>9.8141666666666672E-3</v>
      </c>
      <c r="P710" s="2">
        <f t="shared" si="158"/>
        <v>7.0662000000000011</v>
      </c>
      <c r="Q710" s="7">
        <f t="shared" si="159"/>
        <v>32.002717391304351</v>
      </c>
      <c r="R710" s="2">
        <v>1.2</v>
      </c>
      <c r="S710" s="2">
        <f t="shared" si="154"/>
        <v>4.45</v>
      </c>
      <c r="T710" s="2"/>
      <c r="U710" s="2"/>
      <c r="Y710" s="8">
        <f t="shared" si="155"/>
        <v>1.1392967391304349</v>
      </c>
    </row>
    <row r="711" spans="1:25" x14ac:dyDescent="0.25">
      <c r="A711" s="34">
        <f t="shared" si="170"/>
        <v>703</v>
      </c>
      <c r="B711" s="35" t="e">
        <f t="shared" si="170"/>
        <v>#REF!</v>
      </c>
      <c r="C711" s="40" t="s">
        <v>194</v>
      </c>
      <c r="D711" s="35">
        <v>135</v>
      </c>
      <c r="E711" s="35"/>
      <c r="F711" s="36">
        <f>91398/1000000</f>
        <v>9.1397999999999993E-2</v>
      </c>
      <c r="G711" s="36">
        <f t="shared" si="173"/>
        <v>1.8005405999999998E-2</v>
      </c>
      <c r="H711" s="36">
        <f>35326/1000000</f>
        <v>3.5326000000000003E-2</v>
      </c>
      <c r="I711" s="37">
        <f t="shared" si="174"/>
        <v>5.2989000000000005E-3</v>
      </c>
      <c r="J711" s="32">
        <f t="shared" si="153"/>
        <v>7.8600350000000013E-2</v>
      </c>
      <c r="K711" s="33">
        <f t="shared" si="156"/>
        <v>1.1790052500000002E-2</v>
      </c>
      <c r="L711" s="33"/>
      <c r="O711" s="2">
        <f t="shared" si="157"/>
        <v>1.4719166666666669E-2</v>
      </c>
      <c r="P711" s="2">
        <f t="shared" si="158"/>
        <v>10.597800000000001</v>
      </c>
      <c r="Q711" s="7">
        <f t="shared" si="159"/>
        <v>47.997282608695656</v>
      </c>
      <c r="R711" s="2">
        <v>1.2</v>
      </c>
      <c r="S711" s="2">
        <f t="shared" si="154"/>
        <v>4.45</v>
      </c>
      <c r="T711" s="2"/>
      <c r="U711" s="2"/>
      <c r="Y711" s="8">
        <f t="shared" si="155"/>
        <v>1.7087032608695656</v>
      </c>
    </row>
    <row r="712" spans="1:25" x14ac:dyDescent="0.25">
      <c r="A712" s="34">
        <f t="shared" si="170"/>
        <v>704</v>
      </c>
      <c r="B712" s="35" t="e">
        <f t="shared" si="170"/>
        <v>#REF!</v>
      </c>
      <c r="C712" s="40" t="s">
        <v>194</v>
      </c>
      <c r="D712" s="35" t="s">
        <v>204</v>
      </c>
      <c r="E712" s="35"/>
      <c r="F712" s="36">
        <f>91462/1000000</f>
        <v>9.1462000000000002E-2</v>
      </c>
      <c r="G712" s="36">
        <f t="shared" si="173"/>
        <v>1.8018014000000002E-2</v>
      </c>
      <c r="H712" s="36">
        <f>38273/1000000</f>
        <v>3.8273000000000001E-2</v>
      </c>
      <c r="I712" s="37">
        <f t="shared" si="174"/>
        <v>5.7409499999999999E-3</v>
      </c>
      <c r="J712" s="32">
        <f t="shared" si="153"/>
        <v>8.5157425000000009E-2</v>
      </c>
      <c r="K712" s="33">
        <f t="shared" si="156"/>
        <v>1.2773613750000001E-2</v>
      </c>
      <c r="L712" s="33"/>
      <c r="O712" s="2">
        <f t="shared" si="157"/>
        <v>1.5947083333333334E-2</v>
      </c>
      <c r="P712" s="2">
        <f t="shared" si="158"/>
        <v>11.4819</v>
      </c>
      <c r="Q712" s="7">
        <f t="shared" si="159"/>
        <v>52.001358695652172</v>
      </c>
      <c r="R712" s="2">
        <v>1.2</v>
      </c>
      <c r="S712" s="2">
        <f t="shared" si="154"/>
        <v>4.45</v>
      </c>
      <c r="T712" s="2"/>
      <c r="U712" s="2"/>
      <c r="Y712" s="8">
        <f t="shared" si="155"/>
        <v>1.8512483695652175</v>
      </c>
    </row>
    <row r="713" spans="1:25" x14ac:dyDescent="0.25">
      <c r="A713" s="34">
        <f t="shared" si="170"/>
        <v>705</v>
      </c>
      <c r="B713" s="35" t="e">
        <f t="shared" si="170"/>
        <v>#REF!</v>
      </c>
      <c r="C713" s="40" t="s">
        <v>194</v>
      </c>
      <c r="D713" s="35">
        <v>137</v>
      </c>
      <c r="E713" s="35"/>
      <c r="F713" s="36">
        <f>88409/1000000</f>
        <v>8.8409000000000001E-2</v>
      </c>
      <c r="G713" s="36">
        <f t="shared" si="173"/>
        <v>1.7416573000000001E-2</v>
      </c>
      <c r="H713" s="36">
        <f>25760/1000000</f>
        <v>2.5760000000000002E-2</v>
      </c>
      <c r="I713" s="37">
        <f t="shared" si="174"/>
        <v>3.8640000000000002E-3</v>
      </c>
      <c r="J713" s="32">
        <f t="shared" ref="J713:J776" si="175">O713*R713*S713</f>
        <v>5.7316000000000006E-2</v>
      </c>
      <c r="K713" s="33">
        <f t="shared" si="156"/>
        <v>8.5973999999999998E-3</v>
      </c>
      <c r="L713" s="33"/>
      <c r="O713" s="2">
        <f t="shared" si="157"/>
        <v>1.0733333333333334E-2</v>
      </c>
      <c r="P713" s="2">
        <f t="shared" si="158"/>
        <v>7.7280000000000015</v>
      </c>
      <c r="Q713" s="7">
        <f t="shared" si="159"/>
        <v>35.000000000000007</v>
      </c>
      <c r="R713" s="2">
        <v>1.2</v>
      </c>
      <c r="S713" s="2">
        <f t="shared" ref="S713:S776" si="176">IF(Q713&lt;=$AE$6,$AF$6,IF(Q713&lt;=$AE$7,$AF$7,IF(Q713&lt;=$AE$8,$AF$8,IF(Q713&lt;=$AE$9,$AF$9,IF(Q713&lt;=$AE$10,$AF$10,0)))))</f>
        <v>4.45</v>
      </c>
      <c r="T713" s="2"/>
      <c r="U713" s="2"/>
      <c r="Y713" s="8">
        <f t="shared" ref="Y713:Y776" si="177">J713/46*1000</f>
        <v>1.2460000000000002</v>
      </c>
    </row>
    <row r="714" spans="1:25" x14ac:dyDescent="0.25">
      <c r="A714" s="34">
        <f t="shared" si="170"/>
        <v>706</v>
      </c>
      <c r="B714" s="35" t="e">
        <f t="shared" si="170"/>
        <v>#REF!</v>
      </c>
      <c r="C714" s="40" t="s">
        <v>194</v>
      </c>
      <c r="D714" s="35">
        <v>139</v>
      </c>
      <c r="E714" s="35"/>
      <c r="F714" s="36">
        <f>114104/1000000</f>
        <v>0.114104</v>
      </c>
      <c r="G714" s="36">
        <f t="shared" si="173"/>
        <v>2.2478488000000001E-2</v>
      </c>
      <c r="H714" s="36">
        <f>50784/1000000</f>
        <v>5.0784000000000003E-2</v>
      </c>
      <c r="I714" s="37">
        <f t="shared" si="174"/>
        <v>7.6176000000000004E-3</v>
      </c>
      <c r="J714" s="32">
        <f t="shared" si="175"/>
        <v>0.11299440000000001</v>
      </c>
      <c r="K714" s="33">
        <f t="shared" ref="K714:K777" si="178">J714*0.15</f>
        <v>1.6949160000000001E-2</v>
      </c>
      <c r="L714" s="33"/>
      <c r="O714" s="2">
        <f t="shared" si="157"/>
        <v>2.1160000000000002E-2</v>
      </c>
      <c r="P714" s="2">
        <f t="shared" si="158"/>
        <v>15.235200000000003</v>
      </c>
      <c r="Q714" s="7">
        <f t="shared" si="159"/>
        <v>69.000000000000014</v>
      </c>
      <c r="R714" s="2">
        <v>1.2</v>
      </c>
      <c r="S714" s="2">
        <f t="shared" si="176"/>
        <v>4.45</v>
      </c>
      <c r="T714" s="2"/>
      <c r="U714" s="2"/>
      <c r="Y714" s="8">
        <f t="shared" si="177"/>
        <v>2.4563999999999999</v>
      </c>
    </row>
    <row r="715" spans="1:25" x14ac:dyDescent="0.25">
      <c r="A715" s="34">
        <f t="shared" si="170"/>
        <v>707</v>
      </c>
      <c r="B715" s="35" t="e">
        <f t="shared" si="170"/>
        <v>#REF!</v>
      </c>
      <c r="C715" s="40" t="s">
        <v>194</v>
      </c>
      <c r="D715" s="35" t="s">
        <v>205</v>
      </c>
      <c r="E715" s="35"/>
      <c r="F715" s="36">
        <f>111421/1000000</f>
        <v>0.11142100000000001</v>
      </c>
      <c r="G715" s="36">
        <f t="shared" si="173"/>
        <v>2.1949937000000003E-2</v>
      </c>
      <c r="H715" s="36">
        <f>54463/1000000</f>
        <v>5.4462999999999998E-2</v>
      </c>
      <c r="I715" s="37">
        <f t="shared" si="174"/>
        <v>8.16945E-3</v>
      </c>
      <c r="J715" s="32">
        <f t="shared" si="175"/>
        <v>0.121180175</v>
      </c>
      <c r="K715" s="33">
        <f t="shared" si="178"/>
        <v>1.8177026249999999E-2</v>
      </c>
      <c r="L715" s="33"/>
      <c r="O715" s="2">
        <f t="shared" ref="O715:O778" si="179">H715/2.4</f>
        <v>2.2692916666666667E-2</v>
      </c>
      <c r="P715" s="2">
        <f t="shared" ref="P715:P778" si="180">O715*24*30</f>
        <v>16.338899999999999</v>
      </c>
      <c r="Q715" s="7">
        <f t="shared" ref="Q715:Q778" si="181">P715/0.2208</f>
        <v>73.998641304347828</v>
      </c>
      <c r="R715" s="2">
        <v>1.2</v>
      </c>
      <c r="S715" s="2">
        <f t="shared" si="176"/>
        <v>4.45</v>
      </c>
      <c r="T715" s="2"/>
      <c r="U715" s="2"/>
      <c r="Y715" s="8">
        <f t="shared" si="177"/>
        <v>2.6343516304347827</v>
      </c>
    </row>
    <row r="716" spans="1:25" x14ac:dyDescent="0.25">
      <c r="A716" s="34">
        <f t="shared" ref="A716:B731" si="182">A715+1</f>
        <v>708</v>
      </c>
      <c r="B716" s="35" t="e">
        <f t="shared" si="182"/>
        <v>#REF!</v>
      </c>
      <c r="C716" s="40" t="s">
        <v>194</v>
      </c>
      <c r="D716" s="35">
        <v>141</v>
      </c>
      <c r="E716" s="35"/>
      <c r="F716" s="36">
        <f>111229/1000000</f>
        <v>0.11122899999999999</v>
      </c>
      <c r="G716" s="36">
        <f t="shared" si="173"/>
        <v>2.1912113E-2</v>
      </c>
      <c r="H716" s="36">
        <f>49312/1000000</f>
        <v>4.9312000000000002E-2</v>
      </c>
      <c r="I716" s="37">
        <f t="shared" si="174"/>
        <v>7.3968000000000002E-3</v>
      </c>
      <c r="J716" s="32">
        <f t="shared" si="175"/>
        <v>0.1097192</v>
      </c>
      <c r="K716" s="33">
        <f t="shared" si="178"/>
        <v>1.6457880000000001E-2</v>
      </c>
      <c r="L716" s="33"/>
      <c r="O716" s="2">
        <f t="shared" si="179"/>
        <v>2.0546666666666668E-2</v>
      </c>
      <c r="P716" s="2">
        <f t="shared" si="180"/>
        <v>14.7936</v>
      </c>
      <c r="Q716" s="7">
        <f t="shared" si="181"/>
        <v>67</v>
      </c>
      <c r="R716" s="2">
        <v>1.2</v>
      </c>
      <c r="S716" s="2">
        <f t="shared" si="176"/>
        <v>4.45</v>
      </c>
      <c r="T716" s="2"/>
      <c r="U716" s="2"/>
      <c r="Y716" s="8">
        <f t="shared" si="177"/>
        <v>2.3852000000000002</v>
      </c>
    </row>
    <row r="717" spans="1:25" x14ac:dyDescent="0.25">
      <c r="A717" s="34">
        <f t="shared" si="182"/>
        <v>709</v>
      </c>
      <c r="B717" s="35" t="e">
        <f t="shared" si="182"/>
        <v>#REF!</v>
      </c>
      <c r="C717" s="40" t="s">
        <v>194</v>
      </c>
      <c r="D717" s="35">
        <v>142</v>
      </c>
      <c r="E717" s="35"/>
      <c r="F717" s="36">
        <f>60238/1000000</f>
        <v>6.0238E-2</v>
      </c>
      <c r="G717" s="36">
        <f t="shared" si="173"/>
        <v>1.1866886E-2</v>
      </c>
      <c r="H717" s="36">
        <f>14720/1000000</f>
        <v>1.472E-2</v>
      </c>
      <c r="I717" s="37">
        <f t="shared" si="174"/>
        <v>2.2079999999999999E-3</v>
      </c>
      <c r="J717" s="32">
        <f t="shared" si="175"/>
        <v>3.2752000000000003E-2</v>
      </c>
      <c r="K717" s="33">
        <f t="shared" si="178"/>
        <v>4.9128000000000002E-3</v>
      </c>
      <c r="L717" s="33"/>
      <c r="O717" s="2">
        <f t="shared" si="179"/>
        <v>6.1333333333333335E-3</v>
      </c>
      <c r="P717" s="2">
        <f t="shared" si="180"/>
        <v>4.4160000000000004</v>
      </c>
      <c r="Q717" s="7">
        <f t="shared" si="181"/>
        <v>20.000000000000004</v>
      </c>
      <c r="R717" s="2">
        <v>1.2</v>
      </c>
      <c r="S717" s="2">
        <f t="shared" si="176"/>
        <v>4.45</v>
      </c>
      <c r="T717" s="2"/>
      <c r="U717" s="2"/>
      <c r="Y717" s="8">
        <f t="shared" si="177"/>
        <v>0.71200000000000008</v>
      </c>
    </row>
    <row r="718" spans="1:25" x14ac:dyDescent="0.25">
      <c r="A718" s="34">
        <f t="shared" si="182"/>
        <v>710</v>
      </c>
      <c r="B718" s="35" t="e">
        <f t="shared" si="182"/>
        <v>#REF!</v>
      </c>
      <c r="C718" s="40" t="s">
        <v>194</v>
      </c>
      <c r="D718" s="35">
        <v>144</v>
      </c>
      <c r="E718" s="35"/>
      <c r="F718" s="36">
        <f>121469/1000000</f>
        <v>0.12146899999999999</v>
      </c>
      <c r="G718" s="36">
        <f t="shared" si="173"/>
        <v>2.3929393E-2</v>
      </c>
      <c r="H718" s="36">
        <f>38272/1000000</f>
        <v>3.8272E-2</v>
      </c>
      <c r="I718" s="37">
        <f t="shared" si="174"/>
        <v>5.7407999999999999E-3</v>
      </c>
      <c r="J718" s="32">
        <f t="shared" si="175"/>
        <v>8.51552E-2</v>
      </c>
      <c r="K718" s="33">
        <f t="shared" si="178"/>
        <v>1.277328E-2</v>
      </c>
      <c r="L718" s="33"/>
      <c r="O718" s="2">
        <f t="shared" si="179"/>
        <v>1.5946666666666668E-2</v>
      </c>
      <c r="P718" s="2">
        <f t="shared" si="180"/>
        <v>11.481600000000002</v>
      </c>
      <c r="Q718" s="7">
        <f t="shared" si="181"/>
        <v>52.000000000000007</v>
      </c>
      <c r="R718" s="2">
        <v>1.2</v>
      </c>
      <c r="S718" s="2">
        <f t="shared" si="176"/>
        <v>4.45</v>
      </c>
      <c r="T718" s="2"/>
      <c r="U718" s="2"/>
      <c r="Y718" s="8">
        <f t="shared" si="177"/>
        <v>1.8512000000000002</v>
      </c>
    </row>
    <row r="719" spans="1:25" x14ac:dyDescent="0.25">
      <c r="A719" s="34">
        <f t="shared" si="182"/>
        <v>711</v>
      </c>
      <c r="B719" s="35" t="e">
        <f t="shared" si="182"/>
        <v>#REF!</v>
      </c>
      <c r="C719" s="40" t="s">
        <v>194</v>
      </c>
      <c r="D719" s="35">
        <v>146</v>
      </c>
      <c r="E719" s="35"/>
      <c r="F719" s="36">
        <f>56832/1000000</f>
        <v>5.6832000000000001E-2</v>
      </c>
      <c r="G719" s="36">
        <f t="shared" si="173"/>
        <v>1.1195904000000001E-2</v>
      </c>
      <c r="H719" s="36">
        <f>17664/1000000</f>
        <v>1.7663999999999999E-2</v>
      </c>
      <c r="I719" s="37">
        <f t="shared" si="174"/>
        <v>2.6495999999999998E-3</v>
      </c>
      <c r="J719" s="32">
        <f t="shared" si="175"/>
        <v>3.9302400000000001E-2</v>
      </c>
      <c r="K719" s="33">
        <f t="shared" si="178"/>
        <v>5.8953599999999997E-3</v>
      </c>
      <c r="L719" s="33"/>
      <c r="O719" s="2">
        <f t="shared" si="179"/>
        <v>7.3600000000000002E-3</v>
      </c>
      <c r="P719" s="2">
        <f t="shared" si="180"/>
        <v>5.2992000000000008</v>
      </c>
      <c r="Q719" s="7">
        <f t="shared" si="181"/>
        <v>24.000000000000004</v>
      </c>
      <c r="R719" s="2">
        <v>1.2</v>
      </c>
      <c r="S719" s="2">
        <f t="shared" si="176"/>
        <v>4.45</v>
      </c>
      <c r="T719" s="2"/>
      <c r="U719" s="2"/>
      <c r="Y719" s="8">
        <f t="shared" si="177"/>
        <v>0.85440000000000005</v>
      </c>
    </row>
    <row r="720" spans="1:25" x14ac:dyDescent="0.25">
      <c r="A720" s="34">
        <f t="shared" si="182"/>
        <v>712</v>
      </c>
      <c r="B720" s="35" t="e">
        <f t="shared" si="182"/>
        <v>#REF!</v>
      </c>
      <c r="C720" s="40" t="s">
        <v>194</v>
      </c>
      <c r="D720" s="35">
        <v>148</v>
      </c>
      <c r="E720" s="35"/>
      <c r="F720" s="36">
        <f>58080/1000000</f>
        <v>5.808E-2</v>
      </c>
      <c r="G720" s="36">
        <f t="shared" si="173"/>
        <v>1.144176E-2</v>
      </c>
      <c r="H720" s="36">
        <f>28704/1000000</f>
        <v>2.8704E-2</v>
      </c>
      <c r="I720" s="37">
        <f t="shared" si="174"/>
        <v>4.3055999999999997E-3</v>
      </c>
      <c r="J720" s="32">
        <f t="shared" si="175"/>
        <v>6.3866400000000004E-2</v>
      </c>
      <c r="K720" s="33">
        <f t="shared" si="178"/>
        <v>9.5799600000000002E-3</v>
      </c>
      <c r="L720" s="33"/>
      <c r="O720" s="2">
        <f t="shared" si="179"/>
        <v>1.196E-2</v>
      </c>
      <c r="P720" s="2">
        <f t="shared" si="180"/>
        <v>8.6112000000000002</v>
      </c>
      <c r="Q720" s="7">
        <f t="shared" si="181"/>
        <v>39</v>
      </c>
      <c r="R720" s="2">
        <v>1.2</v>
      </c>
      <c r="S720" s="2">
        <f t="shared" si="176"/>
        <v>4.45</v>
      </c>
      <c r="T720" s="2"/>
      <c r="U720" s="2"/>
      <c r="Y720" s="8">
        <f t="shared" si="177"/>
        <v>1.3884000000000001</v>
      </c>
    </row>
    <row r="721" spans="1:25" x14ac:dyDescent="0.25">
      <c r="A721" s="34">
        <f t="shared" si="182"/>
        <v>713</v>
      </c>
      <c r="B721" s="35" t="e">
        <f>B720+1</f>
        <v>#REF!</v>
      </c>
      <c r="C721" s="40" t="s">
        <v>194</v>
      </c>
      <c r="D721" s="35">
        <v>184</v>
      </c>
      <c r="E721" s="35"/>
      <c r="F721" s="36">
        <v>0.14069999999999999</v>
      </c>
      <c r="G721" s="36">
        <v>3.56E-2</v>
      </c>
      <c r="H721" s="36">
        <v>5.0000000000000001E-3</v>
      </c>
      <c r="I721" s="37">
        <v>1.5E-3</v>
      </c>
      <c r="J721" s="32">
        <f t="shared" si="175"/>
        <v>1.1125000000000001E-2</v>
      </c>
      <c r="K721" s="33">
        <f t="shared" si="178"/>
        <v>1.6687500000000001E-3</v>
      </c>
      <c r="L721" s="24" t="s">
        <v>16</v>
      </c>
      <c r="O721" s="2">
        <f t="shared" si="179"/>
        <v>2.0833333333333333E-3</v>
      </c>
      <c r="P721" s="2">
        <f t="shared" si="180"/>
        <v>1.5</v>
      </c>
      <c r="Q721" s="7">
        <f t="shared" si="181"/>
        <v>6.7934782608695654</v>
      </c>
      <c r="R721" s="2">
        <v>1.2</v>
      </c>
      <c r="S721" s="2">
        <f t="shared" si="176"/>
        <v>4.45</v>
      </c>
      <c r="T721" s="2"/>
      <c r="U721" s="2"/>
      <c r="Y721" s="8">
        <f t="shared" si="177"/>
        <v>0.24184782608695654</v>
      </c>
    </row>
    <row r="722" spans="1:25" x14ac:dyDescent="0.25">
      <c r="A722" s="34">
        <f t="shared" si="182"/>
        <v>714</v>
      </c>
      <c r="B722" s="35" t="e">
        <f>B721+1</f>
        <v>#REF!</v>
      </c>
      <c r="C722" s="40" t="s">
        <v>194</v>
      </c>
      <c r="D722" s="35">
        <v>187</v>
      </c>
      <c r="E722" s="35"/>
      <c r="F722" s="36">
        <f>123757/1000000</f>
        <v>0.12375700000000001</v>
      </c>
      <c r="G722" s="36">
        <f>F722*0.197</f>
        <v>2.4380129000000004E-2</v>
      </c>
      <c r="H722" s="36">
        <f>52992/1000000</f>
        <v>5.2991999999999997E-2</v>
      </c>
      <c r="I722" s="37">
        <f t="shared" ref="I722:I737" si="183">H722*0.15</f>
        <v>7.9487999999999989E-3</v>
      </c>
      <c r="J722" s="32">
        <f t="shared" si="175"/>
        <v>0.1179072</v>
      </c>
      <c r="K722" s="33">
        <f t="shared" si="178"/>
        <v>1.768608E-2</v>
      </c>
      <c r="L722" s="33"/>
      <c r="O722" s="2">
        <f t="shared" si="179"/>
        <v>2.2079999999999999E-2</v>
      </c>
      <c r="P722" s="2">
        <f t="shared" si="180"/>
        <v>15.897599999999999</v>
      </c>
      <c r="Q722" s="7">
        <f t="shared" si="181"/>
        <v>72</v>
      </c>
      <c r="R722" s="2">
        <v>1.2</v>
      </c>
      <c r="S722" s="2">
        <f t="shared" si="176"/>
        <v>4.45</v>
      </c>
      <c r="T722" s="2"/>
      <c r="U722" s="2"/>
      <c r="Y722" s="8">
        <f t="shared" si="177"/>
        <v>2.5632000000000001</v>
      </c>
    </row>
    <row r="723" spans="1:25" x14ac:dyDescent="0.25">
      <c r="A723" s="34">
        <f t="shared" si="182"/>
        <v>715</v>
      </c>
      <c r="B723" s="35"/>
      <c r="C723" s="40" t="s">
        <v>194</v>
      </c>
      <c r="D723" s="41" t="s">
        <v>206</v>
      </c>
      <c r="E723" s="35"/>
      <c r="F723" s="36">
        <v>0.1416</v>
      </c>
      <c r="G723" s="36">
        <v>2.7900000000000001E-2</v>
      </c>
      <c r="H723" s="36">
        <v>6.0400000000000002E-2</v>
      </c>
      <c r="I723" s="37">
        <v>9.1000000000000004E-3</v>
      </c>
      <c r="J723" s="32">
        <f t="shared" si="175"/>
        <v>0.13438999999999998</v>
      </c>
      <c r="K723" s="33">
        <f t="shared" si="178"/>
        <v>2.0158499999999996E-2</v>
      </c>
      <c r="L723" s="33"/>
      <c r="O723" s="2">
        <f t="shared" si="179"/>
        <v>2.5166666666666667E-2</v>
      </c>
      <c r="P723" s="2">
        <f t="shared" si="180"/>
        <v>18.12</v>
      </c>
      <c r="Q723" s="7">
        <f t="shared" si="181"/>
        <v>82.065217391304358</v>
      </c>
      <c r="R723" s="2">
        <v>1.2</v>
      </c>
      <c r="S723" s="2">
        <f t="shared" si="176"/>
        <v>4.45</v>
      </c>
      <c r="T723" s="2"/>
      <c r="U723" s="2"/>
      <c r="Y723" s="8">
        <f t="shared" si="177"/>
        <v>2.921521739130434</v>
      </c>
    </row>
    <row r="724" spans="1:25" x14ac:dyDescent="0.25">
      <c r="A724" s="34">
        <f t="shared" si="182"/>
        <v>716</v>
      </c>
      <c r="B724" s="35" t="e">
        <f>B722+1</f>
        <v>#REF!</v>
      </c>
      <c r="C724" s="40" t="s">
        <v>194</v>
      </c>
      <c r="D724" s="35" t="s">
        <v>207</v>
      </c>
      <c r="E724" s="35"/>
      <c r="F724" s="36">
        <f>73323/1000000</f>
        <v>7.3322999999999999E-2</v>
      </c>
      <c r="G724" s="36">
        <f>F724*0.197</f>
        <v>1.4444631000000001E-2</v>
      </c>
      <c r="H724" s="36">
        <f>25759/1000000</f>
        <v>2.5759000000000001E-2</v>
      </c>
      <c r="I724" s="37">
        <f t="shared" si="183"/>
        <v>3.8638499999999998E-3</v>
      </c>
      <c r="J724" s="32">
        <f t="shared" si="175"/>
        <v>5.7313775000000004E-2</v>
      </c>
      <c r="K724" s="33">
        <f t="shared" si="178"/>
        <v>8.5970662500000003E-3</v>
      </c>
      <c r="L724" s="33"/>
      <c r="O724" s="2">
        <f t="shared" si="179"/>
        <v>1.0732916666666667E-2</v>
      </c>
      <c r="P724" s="2">
        <f t="shared" si="180"/>
        <v>7.7276999999999996</v>
      </c>
      <c r="Q724" s="7">
        <f t="shared" si="181"/>
        <v>34.998641304347828</v>
      </c>
      <c r="R724" s="2">
        <v>1.2</v>
      </c>
      <c r="S724" s="2">
        <f t="shared" si="176"/>
        <v>4.45</v>
      </c>
      <c r="T724" s="2"/>
      <c r="U724" s="2"/>
      <c r="Y724" s="8">
        <f t="shared" si="177"/>
        <v>1.2459516304347826</v>
      </c>
    </row>
    <row r="725" spans="1:25" x14ac:dyDescent="0.25">
      <c r="A725" s="34">
        <f t="shared" si="182"/>
        <v>717</v>
      </c>
      <c r="B725" s="35" t="e">
        <f>B724+1</f>
        <v>#REF!</v>
      </c>
      <c r="C725" s="40" t="s">
        <v>208</v>
      </c>
      <c r="D725" s="35" t="s">
        <v>209</v>
      </c>
      <c r="E725" s="35"/>
      <c r="F725" s="36">
        <f>72087/1000000</f>
        <v>7.2086999999999998E-2</v>
      </c>
      <c r="G725" s="36">
        <f>F725*0.197</f>
        <v>1.4201139E-2</v>
      </c>
      <c r="H725" s="36">
        <f>25760/1000000</f>
        <v>2.5760000000000002E-2</v>
      </c>
      <c r="I725" s="37">
        <f t="shared" si="183"/>
        <v>3.8640000000000002E-3</v>
      </c>
      <c r="J725" s="32">
        <f t="shared" si="175"/>
        <v>5.7316000000000006E-2</v>
      </c>
      <c r="K725" s="33">
        <f t="shared" si="178"/>
        <v>8.5973999999999998E-3</v>
      </c>
      <c r="L725" s="33"/>
      <c r="O725" s="2">
        <f t="shared" si="179"/>
        <v>1.0733333333333334E-2</v>
      </c>
      <c r="P725" s="2">
        <f t="shared" si="180"/>
        <v>7.7280000000000015</v>
      </c>
      <c r="Q725" s="7">
        <f t="shared" si="181"/>
        <v>35.000000000000007</v>
      </c>
      <c r="R725" s="2">
        <v>1.2</v>
      </c>
      <c r="S725" s="2">
        <f t="shared" si="176"/>
        <v>4.45</v>
      </c>
      <c r="T725" s="2"/>
      <c r="U725" s="2"/>
      <c r="Y725" s="8">
        <f t="shared" si="177"/>
        <v>1.2460000000000002</v>
      </c>
    </row>
    <row r="726" spans="1:25" x14ac:dyDescent="0.25">
      <c r="A726" s="34">
        <f t="shared" si="182"/>
        <v>718</v>
      </c>
      <c r="B726" s="35" t="e">
        <f>B725+1</f>
        <v>#REF!</v>
      </c>
      <c r="C726" s="40" t="s">
        <v>208</v>
      </c>
      <c r="D726" s="35">
        <v>20</v>
      </c>
      <c r="E726" s="35"/>
      <c r="F726" s="36">
        <v>0.10349999999999999</v>
      </c>
      <c r="G726" s="36">
        <v>2.35E-2</v>
      </c>
      <c r="H726" s="36">
        <f>32383/1000000</f>
        <v>3.2383000000000002E-2</v>
      </c>
      <c r="I726" s="37">
        <f t="shared" si="183"/>
        <v>4.8574500000000001E-3</v>
      </c>
      <c r="J726" s="32">
        <f t="shared" si="175"/>
        <v>7.205217500000001E-2</v>
      </c>
      <c r="K726" s="33">
        <f t="shared" si="178"/>
        <v>1.0807826250000001E-2</v>
      </c>
      <c r="L726" s="33"/>
      <c r="O726" s="2">
        <f t="shared" si="179"/>
        <v>1.3492916666666669E-2</v>
      </c>
      <c r="P726" s="2">
        <f t="shared" si="180"/>
        <v>9.7149000000000019</v>
      </c>
      <c r="Q726" s="7">
        <f t="shared" si="181"/>
        <v>43.998641304347835</v>
      </c>
      <c r="R726" s="2">
        <v>1.2</v>
      </c>
      <c r="S726" s="2">
        <f t="shared" si="176"/>
        <v>4.45</v>
      </c>
      <c r="T726" s="2"/>
      <c r="U726" s="2"/>
      <c r="Y726" s="8">
        <f t="shared" si="177"/>
        <v>1.5663516304347829</v>
      </c>
    </row>
    <row r="727" spans="1:25" x14ac:dyDescent="0.25">
      <c r="A727" s="34">
        <f t="shared" si="182"/>
        <v>719</v>
      </c>
      <c r="B727" s="35" t="e">
        <f>B726+1</f>
        <v>#REF!</v>
      </c>
      <c r="C727" s="40" t="s">
        <v>208</v>
      </c>
      <c r="D727" s="35">
        <v>22</v>
      </c>
      <c r="E727" s="35"/>
      <c r="F727" s="36">
        <f>70061/1000000</f>
        <v>7.0060999999999998E-2</v>
      </c>
      <c r="G727" s="36">
        <f>F727*0.197</f>
        <v>1.3802017E-2</v>
      </c>
      <c r="H727" s="36">
        <f>16927/1000000</f>
        <v>1.6927000000000001E-2</v>
      </c>
      <c r="I727" s="37">
        <f t="shared" si="183"/>
        <v>2.5390500000000002E-3</v>
      </c>
      <c r="J727" s="32">
        <f t="shared" si="175"/>
        <v>3.7662575000000004E-2</v>
      </c>
      <c r="K727" s="33">
        <f t="shared" si="178"/>
        <v>5.64938625E-3</v>
      </c>
      <c r="L727" s="33"/>
      <c r="O727" s="2">
        <f t="shared" si="179"/>
        <v>7.0529166666666674E-3</v>
      </c>
      <c r="P727" s="2">
        <f t="shared" si="180"/>
        <v>5.0781000000000009</v>
      </c>
      <c r="Q727" s="7">
        <f t="shared" si="181"/>
        <v>22.998641304347831</v>
      </c>
      <c r="R727" s="2">
        <v>1.2</v>
      </c>
      <c r="S727" s="2">
        <f t="shared" si="176"/>
        <v>4.45</v>
      </c>
      <c r="T727" s="2"/>
      <c r="U727" s="2"/>
      <c r="Y727" s="8">
        <f t="shared" si="177"/>
        <v>0.81875163043478261</v>
      </c>
    </row>
    <row r="728" spans="1:25" x14ac:dyDescent="0.25">
      <c r="A728" s="34">
        <f t="shared" si="182"/>
        <v>720</v>
      </c>
      <c r="B728" s="35" t="e">
        <f>B727+1</f>
        <v>#REF!</v>
      </c>
      <c r="C728" s="40" t="s">
        <v>208</v>
      </c>
      <c r="D728" s="35">
        <v>28</v>
      </c>
      <c r="E728" s="35"/>
      <c r="F728" s="36">
        <f>53059/1000000</f>
        <v>5.3059000000000002E-2</v>
      </c>
      <c r="G728" s="36">
        <f>F728*0.197</f>
        <v>1.0452623000000001E-2</v>
      </c>
      <c r="H728" s="36">
        <f>8832/1000000</f>
        <v>8.8319999999999996E-3</v>
      </c>
      <c r="I728" s="37">
        <f t="shared" si="183"/>
        <v>1.3247999999999999E-3</v>
      </c>
      <c r="J728" s="32">
        <f t="shared" si="175"/>
        <v>1.9651200000000001E-2</v>
      </c>
      <c r="K728" s="33">
        <f t="shared" si="178"/>
        <v>2.9476799999999998E-3</v>
      </c>
      <c r="L728" s="33"/>
      <c r="O728" s="2">
        <f t="shared" si="179"/>
        <v>3.6800000000000001E-3</v>
      </c>
      <c r="P728" s="2">
        <f t="shared" si="180"/>
        <v>2.6496000000000004</v>
      </c>
      <c r="Q728" s="7">
        <f t="shared" si="181"/>
        <v>12.000000000000002</v>
      </c>
      <c r="R728" s="2">
        <v>1.2</v>
      </c>
      <c r="S728" s="2">
        <f t="shared" si="176"/>
        <v>4.45</v>
      </c>
      <c r="T728" s="2"/>
      <c r="U728" s="2"/>
      <c r="Y728" s="8">
        <f t="shared" si="177"/>
        <v>0.42720000000000002</v>
      </c>
    </row>
    <row r="729" spans="1:25" x14ac:dyDescent="0.25">
      <c r="A729" s="34">
        <f t="shared" si="182"/>
        <v>721</v>
      </c>
      <c r="B729" s="35" t="e">
        <f>#REF!+1</f>
        <v>#REF!</v>
      </c>
      <c r="C729" s="40" t="s">
        <v>210</v>
      </c>
      <c r="D729" s="35" t="s">
        <v>190</v>
      </c>
      <c r="E729" s="35"/>
      <c r="F729" s="36">
        <f>142469/1000000</f>
        <v>0.14246900000000001</v>
      </c>
      <c r="G729" s="36">
        <f t="shared" ref="G729:G737" si="184">F729*0.197</f>
        <v>2.8066393000000002E-2</v>
      </c>
      <c r="H729" s="36">
        <f>64766/1000000</f>
        <v>6.4766000000000004E-2</v>
      </c>
      <c r="I729" s="37">
        <f t="shared" si="183"/>
        <v>9.7149000000000003E-3</v>
      </c>
      <c r="J729" s="32">
        <f t="shared" si="175"/>
        <v>0.14410435000000002</v>
      </c>
      <c r="K729" s="33">
        <f t="shared" si="178"/>
        <v>2.1615652500000002E-2</v>
      </c>
      <c r="L729" s="33"/>
      <c r="O729" s="2">
        <f t="shared" si="179"/>
        <v>2.6985833333333337E-2</v>
      </c>
      <c r="P729" s="2">
        <f t="shared" si="180"/>
        <v>19.429800000000004</v>
      </c>
      <c r="Q729" s="7">
        <f t="shared" si="181"/>
        <v>87.99728260869567</v>
      </c>
      <c r="R729" s="2">
        <v>1.2</v>
      </c>
      <c r="S729" s="2">
        <f t="shared" si="176"/>
        <v>4.45</v>
      </c>
      <c r="T729" s="2"/>
      <c r="U729" s="2"/>
      <c r="Y729" s="8">
        <f t="shared" si="177"/>
        <v>3.1327032608695657</v>
      </c>
    </row>
    <row r="730" spans="1:25" x14ac:dyDescent="0.25">
      <c r="A730" s="34">
        <f t="shared" si="182"/>
        <v>722</v>
      </c>
      <c r="B730" s="35" t="e">
        <f>B729+1</f>
        <v>#REF!</v>
      </c>
      <c r="C730" s="40" t="s">
        <v>210</v>
      </c>
      <c r="D730" s="41" t="s">
        <v>42</v>
      </c>
      <c r="E730" s="35"/>
      <c r="F730" s="36">
        <f>109409/1000000</f>
        <v>0.10940900000000001</v>
      </c>
      <c r="G730" s="36">
        <f t="shared" si="184"/>
        <v>2.1553573000000003E-2</v>
      </c>
      <c r="H730" s="36">
        <f>45634/1000000</f>
        <v>4.5634000000000001E-2</v>
      </c>
      <c r="I730" s="37">
        <f t="shared" si="183"/>
        <v>6.8450999999999998E-3</v>
      </c>
      <c r="J730" s="32">
        <f t="shared" si="175"/>
        <v>0.10153565000000001</v>
      </c>
      <c r="K730" s="33">
        <f t="shared" si="178"/>
        <v>1.52303475E-2</v>
      </c>
      <c r="L730" s="33"/>
      <c r="O730" s="2">
        <f t="shared" si="179"/>
        <v>1.9014166666666669E-2</v>
      </c>
      <c r="P730" s="2">
        <f t="shared" si="180"/>
        <v>13.690200000000003</v>
      </c>
      <c r="Q730" s="7">
        <f t="shared" si="181"/>
        <v>62.002717391304358</v>
      </c>
      <c r="R730" s="2">
        <v>1.2</v>
      </c>
      <c r="S730" s="2">
        <f t="shared" si="176"/>
        <v>4.45</v>
      </c>
      <c r="T730" s="2"/>
      <c r="U730" s="2"/>
      <c r="Y730" s="8">
        <f t="shared" si="177"/>
        <v>2.207296739130435</v>
      </c>
    </row>
    <row r="731" spans="1:25" x14ac:dyDescent="0.25">
      <c r="A731" s="34">
        <f t="shared" si="182"/>
        <v>723</v>
      </c>
      <c r="B731" s="35" t="e">
        <f>B730+1</f>
        <v>#REF!</v>
      </c>
      <c r="C731" s="40" t="s">
        <v>210</v>
      </c>
      <c r="D731" s="41" t="s">
        <v>81</v>
      </c>
      <c r="E731" s="35"/>
      <c r="F731" s="36">
        <f>111107/1000000</f>
        <v>0.111107</v>
      </c>
      <c r="G731" s="36">
        <f t="shared" si="184"/>
        <v>2.1888079000000001E-2</v>
      </c>
      <c r="H731" s="36">
        <f>64766/1000000</f>
        <v>6.4766000000000004E-2</v>
      </c>
      <c r="I731" s="37">
        <f t="shared" si="183"/>
        <v>9.7149000000000003E-3</v>
      </c>
      <c r="J731" s="32">
        <f t="shared" si="175"/>
        <v>0.14410435000000002</v>
      </c>
      <c r="K731" s="33">
        <f t="shared" si="178"/>
        <v>2.1615652500000002E-2</v>
      </c>
      <c r="L731" s="33"/>
      <c r="O731" s="2">
        <f t="shared" si="179"/>
        <v>2.6985833333333337E-2</v>
      </c>
      <c r="P731" s="2">
        <f t="shared" si="180"/>
        <v>19.429800000000004</v>
      </c>
      <c r="Q731" s="7">
        <f t="shared" si="181"/>
        <v>87.99728260869567</v>
      </c>
      <c r="R731" s="2">
        <v>1.2</v>
      </c>
      <c r="S731" s="2">
        <f t="shared" si="176"/>
        <v>4.45</v>
      </c>
      <c r="T731" s="2"/>
      <c r="U731" s="2"/>
      <c r="Y731" s="8">
        <f t="shared" si="177"/>
        <v>3.1327032608695657</v>
      </c>
    </row>
    <row r="732" spans="1:25" x14ac:dyDescent="0.25">
      <c r="A732" s="34">
        <f t="shared" ref="A732:B747" si="185">A731+1</f>
        <v>724</v>
      </c>
      <c r="B732" s="35" t="e">
        <f t="shared" si="185"/>
        <v>#REF!</v>
      </c>
      <c r="C732" s="40" t="s">
        <v>211</v>
      </c>
      <c r="D732" s="41" t="s">
        <v>100</v>
      </c>
      <c r="E732" s="35"/>
      <c r="F732" s="36">
        <f>53116/1000000</f>
        <v>5.3115999999999997E-2</v>
      </c>
      <c r="G732" s="36">
        <f t="shared" si="184"/>
        <v>1.0463851999999999E-2</v>
      </c>
      <c r="H732" s="36">
        <f>20606/1000000</f>
        <v>2.0605999999999999E-2</v>
      </c>
      <c r="I732" s="37">
        <f t="shared" si="183"/>
        <v>3.0908999999999997E-3</v>
      </c>
      <c r="J732" s="32">
        <f t="shared" si="175"/>
        <v>4.584835000000001E-2</v>
      </c>
      <c r="K732" s="33">
        <f t="shared" si="178"/>
        <v>6.877252500000001E-3</v>
      </c>
      <c r="L732" s="33"/>
      <c r="O732" s="2">
        <f t="shared" si="179"/>
        <v>8.5858333333333342E-3</v>
      </c>
      <c r="P732" s="2">
        <f t="shared" si="180"/>
        <v>6.1818000000000008</v>
      </c>
      <c r="Q732" s="7">
        <f t="shared" si="181"/>
        <v>27.997282608695656</v>
      </c>
      <c r="R732" s="2">
        <v>1.2</v>
      </c>
      <c r="S732" s="2">
        <f t="shared" si="176"/>
        <v>4.45</v>
      </c>
      <c r="T732" s="2"/>
      <c r="U732" s="2"/>
      <c r="Y732" s="8">
        <f t="shared" si="177"/>
        <v>0.9967032608695654</v>
      </c>
    </row>
    <row r="733" spans="1:25" x14ac:dyDescent="0.25">
      <c r="A733" s="34">
        <f t="shared" si="185"/>
        <v>725</v>
      </c>
      <c r="B733" s="35" t="e">
        <f t="shared" si="185"/>
        <v>#REF!</v>
      </c>
      <c r="C733" s="40" t="s">
        <v>211</v>
      </c>
      <c r="D733" s="41" t="s">
        <v>68</v>
      </c>
      <c r="E733" s="35">
        <v>1</v>
      </c>
      <c r="F733" s="36">
        <f>433762/1000000/2</f>
        <v>0.21688099999999999</v>
      </c>
      <c r="G733" s="36">
        <f t="shared" si="184"/>
        <v>4.2725556999999997E-2</v>
      </c>
      <c r="H733" s="36">
        <f>179582/1000000/2</f>
        <v>8.9790999999999996E-2</v>
      </c>
      <c r="I733" s="37">
        <f t="shared" si="183"/>
        <v>1.3468649999999999E-2</v>
      </c>
      <c r="J733" s="32">
        <f t="shared" si="175"/>
        <v>0.199784975</v>
      </c>
      <c r="K733" s="33">
        <f t="shared" si="178"/>
        <v>2.996774625E-2</v>
      </c>
      <c r="L733" s="33"/>
      <c r="O733" s="2">
        <f t="shared" si="179"/>
        <v>3.7412916666666664E-2</v>
      </c>
      <c r="P733" s="2">
        <f t="shared" si="180"/>
        <v>26.9373</v>
      </c>
      <c r="Q733" s="7">
        <f t="shared" si="181"/>
        <v>121.99864130434783</v>
      </c>
      <c r="R733" s="2">
        <v>1.2</v>
      </c>
      <c r="S733" s="2">
        <f t="shared" si="176"/>
        <v>4.45</v>
      </c>
      <c r="T733" s="2"/>
      <c r="U733" s="2"/>
      <c r="Y733" s="8">
        <f t="shared" si="177"/>
        <v>4.3431516304347824</v>
      </c>
    </row>
    <row r="734" spans="1:25" x14ac:dyDescent="0.25">
      <c r="A734" s="34">
        <f t="shared" si="185"/>
        <v>726</v>
      </c>
      <c r="B734" s="35" t="e">
        <f t="shared" si="185"/>
        <v>#REF!</v>
      </c>
      <c r="C734" s="40" t="s">
        <v>211</v>
      </c>
      <c r="D734" s="41" t="s">
        <v>68</v>
      </c>
      <c r="E734" s="35">
        <v>2</v>
      </c>
      <c r="F734" s="36">
        <f>433762/1000000/2</f>
        <v>0.21688099999999999</v>
      </c>
      <c r="G734" s="36">
        <f t="shared" si="184"/>
        <v>4.2725556999999997E-2</v>
      </c>
      <c r="H734" s="36">
        <f>179582/1000000/2</f>
        <v>8.9790999999999996E-2</v>
      </c>
      <c r="I734" s="37">
        <f t="shared" si="183"/>
        <v>1.3468649999999999E-2</v>
      </c>
      <c r="J734" s="32">
        <f t="shared" si="175"/>
        <v>0.199784975</v>
      </c>
      <c r="K734" s="33">
        <f t="shared" si="178"/>
        <v>2.996774625E-2</v>
      </c>
      <c r="L734" s="33"/>
      <c r="O734" s="2">
        <f t="shared" si="179"/>
        <v>3.7412916666666664E-2</v>
      </c>
      <c r="P734" s="2">
        <f t="shared" si="180"/>
        <v>26.9373</v>
      </c>
      <c r="Q734" s="7">
        <f t="shared" si="181"/>
        <v>121.99864130434783</v>
      </c>
      <c r="R734" s="2">
        <v>1.2</v>
      </c>
      <c r="S734" s="2">
        <f t="shared" si="176"/>
        <v>4.45</v>
      </c>
      <c r="T734" s="2"/>
      <c r="U734" s="2"/>
      <c r="Y734" s="8">
        <f t="shared" si="177"/>
        <v>4.3431516304347824</v>
      </c>
    </row>
    <row r="735" spans="1:25" x14ac:dyDescent="0.25">
      <c r="A735" s="34">
        <f t="shared" si="185"/>
        <v>727</v>
      </c>
      <c r="B735" s="35" t="e">
        <f t="shared" si="185"/>
        <v>#REF!</v>
      </c>
      <c r="C735" s="40" t="s">
        <v>212</v>
      </c>
      <c r="D735" s="41" t="s">
        <v>213</v>
      </c>
      <c r="E735" s="35"/>
      <c r="F735" s="36">
        <f>74747/1000000</f>
        <v>7.4746999999999994E-2</v>
      </c>
      <c r="G735" s="36">
        <f t="shared" si="184"/>
        <v>1.4725159E-2</v>
      </c>
      <c r="H735" s="36">
        <f>29441/1000000</f>
        <v>2.9440999999999998E-2</v>
      </c>
      <c r="I735" s="37">
        <f t="shared" si="183"/>
        <v>4.4161499999999998E-3</v>
      </c>
      <c r="J735" s="32">
        <f t="shared" si="175"/>
        <v>6.5506225000000001E-2</v>
      </c>
      <c r="K735" s="33">
        <f t="shared" si="178"/>
        <v>9.8259337499999998E-3</v>
      </c>
      <c r="L735" s="33"/>
      <c r="O735" s="2">
        <f t="shared" si="179"/>
        <v>1.2267083333333333E-2</v>
      </c>
      <c r="P735" s="2">
        <f t="shared" si="180"/>
        <v>8.8323</v>
      </c>
      <c r="Q735" s="7">
        <f t="shared" si="181"/>
        <v>40.001358695652172</v>
      </c>
      <c r="R735" s="2">
        <v>1.2</v>
      </c>
      <c r="S735" s="2">
        <f t="shared" si="176"/>
        <v>4.45</v>
      </c>
      <c r="T735" s="2"/>
      <c r="U735" s="2"/>
      <c r="Y735" s="8">
        <f t="shared" si="177"/>
        <v>1.4240483695652175</v>
      </c>
    </row>
    <row r="736" spans="1:25" x14ac:dyDescent="0.25">
      <c r="A736" s="34">
        <f t="shared" si="185"/>
        <v>728</v>
      </c>
      <c r="B736" s="35" t="e">
        <f t="shared" si="185"/>
        <v>#REF!</v>
      </c>
      <c r="C736" s="40" t="s">
        <v>212</v>
      </c>
      <c r="D736" s="41" t="s">
        <v>214</v>
      </c>
      <c r="E736" s="35"/>
      <c r="F736" s="36">
        <f>71792/1000000</f>
        <v>7.1791999999999995E-2</v>
      </c>
      <c r="G736" s="36">
        <f t="shared" si="184"/>
        <v>1.4143023999999999E-2</v>
      </c>
      <c r="H736" s="36">
        <f>27233/1000000</f>
        <v>2.7233E-2</v>
      </c>
      <c r="I736" s="37">
        <f t="shared" si="183"/>
        <v>4.0849499999999995E-3</v>
      </c>
      <c r="J736" s="32">
        <f t="shared" si="175"/>
        <v>6.0593425000000006E-2</v>
      </c>
      <c r="K736" s="33">
        <f t="shared" si="178"/>
        <v>9.0890137500000013E-3</v>
      </c>
      <c r="L736" s="33"/>
      <c r="O736" s="2">
        <f t="shared" si="179"/>
        <v>1.1347083333333334E-2</v>
      </c>
      <c r="P736" s="2">
        <f t="shared" si="180"/>
        <v>8.1699000000000002</v>
      </c>
      <c r="Q736" s="7">
        <f t="shared" si="181"/>
        <v>37.001358695652172</v>
      </c>
      <c r="R736" s="2">
        <v>1.2</v>
      </c>
      <c r="S736" s="2">
        <f t="shared" si="176"/>
        <v>4.45</v>
      </c>
      <c r="T736" s="2"/>
      <c r="U736" s="2"/>
      <c r="Y736" s="8">
        <f t="shared" si="177"/>
        <v>1.3172483695652175</v>
      </c>
    </row>
    <row r="737" spans="1:25" x14ac:dyDescent="0.25">
      <c r="A737" s="34">
        <f t="shared" si="185"/>
        <v>729</v>
      </c>
      <c r="B737" s="35" t="e">
        <f t="shared" si="185"/>
        <v>#REF!</v>
      </c>
      <c r="C737" s="40" t="s">
        <v>212</v>
      </c>
      <c r="D737" s="41" t="s">
        <v>215</v>
      </c>
      <c r="E737" s="35"/>
      <c r="F737" s="36">
        <f>71879/1000000</f>
        <v>7.1878999999999998E-2</v>
      </c>
      <c r="G737" s="36">
        <f t="shared" si="184"/>
        <v>1.4160163E-2</v>
      </c>
      <c r="H737" s="36">
        <f>31646/1000000</f>
        <v>3.1646000000000001E-2</v>
      </c>
      <c r="I737" s="37">
        <f t="shared" si="183"/>
        <v>4.7469000000000001E-3</v>
      </c>
      <c r="J737" s="32">
        <f t="shared" si="175"/>
        <v>7.0412349999999999E-2</v>
      </c>
      <c r="K737" s="33">
        <f t="shared" si="178"/>
        <v>1.05618525E-2</v>
      </c>
      <c r="L737" s="33"/>
      <c r="O737" s="2">
        <f t="shared" si="179"/>
        <v>1.3185833333333334E-2</v>
      </c>
      <c r="P737" s="2">
        <f t="shared" si="180"/>
        <v>9.4938000000000002</v>
      </c>
      <c r="Q737" s="7">
        <f t="shared" si="181"/>
        <v>42.997282608695656</v>
      </c>
      <c r="R737" s="2">
        <v>1.2</v>
      </c>
      <c r="S737" s="2">
        <f t="shared" si="176"/>
        <v>4.45</v>
      </c>
      <c r="T737" s="2"/>
      <c r="U737" s="2"/>
      <c r="Y737" s="8">
        <f t="shared" si="177"/>
        <v>1.5307032608695652</v>
      </c>
    </row>
    <row r="738" spans="1:25" x14ac:dyDescent="0.25">
      <c r="A738" s="34">
        <f t="shared" si="185"/>
        <v>730</v>
      </c>
      <c r="B738" s="35" t="e">
        <f t="shared" si="185"/>
        <v>#REF!</v>
      </c>
      <c r="C738" s="40" t="s">
        <v>212</v>
      </c>
      <c r="D738" s="41" t="s">
        <v>216</v>
      </c>
      <c r="E738" s="35"/>
      <c r="F738" s="36">
        <v>0.1434</v>
      </c>
      <c r="G738" s="36">
        <v>2.8199999999999999E-2</v>
      </c>
      <c r="H738" s="36">
        <v>5.0799999999999998E-2</v>
      </c>
      <c r="I738" s="37">
        <v>7.6E-3</v>
      </c>
      <c r="J738" s="32">
        <f t="shared" si="175"/>
        <v>0.11303000000000001</v>
      </c>
      <c r="K738" s="33">
        <f t="shared" si="178"/>
        <v>1.6954500000000001E-2</v>
      </c>
      <c r="L738" s="33"/>
      <c r="O738" s="2">
        <f t="shared" si="179"/>
        <v>2.1166666666666667E-2</v>
      </c>
      <c r="P738" s="2">
        <f t="shared" si="180"/>
        <v>15.24</v>
      </c>
      <c r="Q738" s="7">
        <f t="shared" si="181"/>
        <v>69.021739130434781</v>
      </c>
      <c r="R738" s="2">
        <v>1.2</v>
      </c>
      <c r="S738" s="2">
        <f t="shared" si="176"/>
        <v>4.45</v>
      </c>
      <c r="T738" s="2"/>
      <c r="U738" s="2"/>
      <c r="Y738" s="8">
        <f t="shared" si="177"/>
        <v>2.4571739130434787</v>
      </c>
    </row>
    <row r="739" spans="1:25" x14ac:dyDescent="0.25">
      <c r="A739" s="34">
        <f t="shared" si="185"/>
        <v>731</v>
      </c>
      <c r="B739" s="35" t="e">
        <f t="shared" si="185"/>
        <v>#REF!</v>
      </c>
      <c r="C739" s="40" t="s">
        <v>212</v>
      </c>
      <c r="D739" s="41" t="s">
        <v>217</v>
      </c>
      <c r="E739" s="35"/>
      <c r="F739" s="36">
        <f>72862/1000000</f>
        <v>7.2861999999999996E-2</v>
      </c>
      <c r="G739" s="36">
        <f t="shared" ref="G739:G761" si="186">F739*0.197</f>
        <v>1.4353813999999999E-2</v>
      </c>
      <c r="H739" s="36">
        <f>30914/1000000</f>
        <v>3.0914000000000001E-2</v>
      </c>
      <c r="I739" s="37">
        <f t="shared" ref="I739:I768" si="187">H739*0.15</f>
        <v>4.6370999999999999E-3</v>
      </c>
      <c r="J739" s="32">
        <f t="shared" si="175"/>
        <v>6.8783650000000002E-2</v>
      </c>
      <c r="K739" s="33">
        <f t="shared" si="178"/>
        <v>1.03175475E-2</v>
      </c>
      <c r="L739" s="33"/>
      <c r="O739" s="2">
        <f t="shared" si="179"/>
        <v>1.2880833333333334E-2</v>
      </c>
      <c r="P739" s="2">
        <f t="shared" si="180"/>
        <v>9.2742000000000004</v>
      </c>
      <c r="Q739" s="7">
        <f t="shared" si="181"/>
        <v>42.002717391304351</v>
      </c>
      <c r="R739" s="2">
        <v>1.2</v>
      </c>
      <c r="S739" s="2">
        <f t="shared" si="176"/>
        <v>4.45</v>
      </c>
      <c r="T739" s="2"/>
      <c r="U739" s="2"/>
      <c r="Y739" s="8">
        <f t="shared" si="177"/>
        <v>1.4952967391304348</v>
      </c>
    </row>
    <row r="740" spans="1:25" x14ac:dyDescent="0.25">
      <c r="A740" s="34">
        <f t="shared" si="185"/>
        <v>732</v>
      </c>
      <c r="B740" s="35" t="e">
        <f t="shared" si="185"/>
        <v>#REF!</v>
      </c>
      <c r="C740" s="40" t="s">
        <v>212</v>
      </c>
      <c r="D740" s="41" t="s">
        <v>218</v>
      </c>
      <c r="E740" s="35"/>
      <c r="F740" s="36">
        <f>71740/1000000</f>
        <v>7.1739999999999998E-2</v>
      </c>
      <c r="G740" s="36">
        <f t="shared" si="186"/>
        <v>1.4132780000000001E-2</v>
      </c>
      <c r="H740" s="36">
        <f>29441/1000000</f>
        <v>2.9440999999999998E-2</v>
      </c>
      <c r="I740" s="37">
        <f t="shared" si="187"/>
        <v>4.4161499999999998E-3</v>
      </c>
      <c r="J740" s="32">
        <f t="shared" si="175"/>
        <v>6.5506225000000001E-2</v>
      </c>
      <c r="K740" s="33">
        <f t="shared" si="178"/>
        <v>9.8259337499999998E-3</v>
      </c>
      <c r="L740" s="33"/>
      <c r="O740" s="2">
        <f t="shared" si="179"/>
        <v>1.2267083333333333E-2</v>
      </c>
      <c r="P740" s="2">
        <f t="shared" si="180"/>
        <v>8.8323</v>
      </c>
      <c r="Q740" s="7">
        <f t="shared" si="181"/>
        <v>40.001358695652172</v>
      </c>
      <c r="R740" s="2">
        <v>1.2</v>
      </c>
      <c r="S740" s="2">
        <f t="shared" si="176"/>
        <v>4.45</v>
      </c>
      <c r="T740" s="2"/>
      <c r="U740" s="2"/>
      <c r="Y740" s="8">
        <f t="shared" si="177"/>
        <v>1.4240483695652175</v>
      </c>
    </row>
    <row r="741" spans="1:25" x14ac:dyDescent="0.25">
      <c r="A741" s="34">
        <f t="shared" si="185"/>
        <v>733</v>
      </c>
      <c r="B741" s="35" t="e">
        <f t="shared" si="185"/>
        <v>#REF!</v>
      </c>
      <c r="C741" s="40" t="s">
        <v>212</v>
      </c>
      <c r="D741" s="41" t="s">
        <v>219</v>
      </c>
      <c r="E741" s="35"/>
      <c r="F741" s="36">
        <f>70781/1000000</f>
        <v>7.0780999999999997E-2</v>
      </c>
      <c r="G741" s="36">
        <f t="shared" si="186"/>
        <v>1.3943857E-2</v>
      </c>
      <c r="H741" s="36">
        <f>33120/1000000</f>
        <v>3.3119999999999997E-2</v>
      </c>
      <c r="I741" s="37">
        <f t="shared" si="187"/>
        <v>4.9679999999999993E-3</v>
      </c>
      <c r="J741" s="32">
        <f t="shared" si="175"/>
        <v>7.3691999999999994E-2</v>
      </c>
      <c r="K741" s="33">
        <f t="shared" si="178"/>
        <v>1.1053799999999999E-2</v>
      </c>
      <c r="L741" s="33"/>
      <c r="O741" s="2">
        <f t="shared" si="179"/>
        <v>1.38E-2</v>
      </c>
      <c r="P741" s="2">
        <f t="shared" si="180"/>
        <v>9.9359999999999999</v>
      </c>
      <c r="Q741" s="7">
        <f t="shared" si="181"/>
        <v>45</v>
      </c>
      <c r="R741" s="2">
        <v>1.2</v>
      </c>
      <c r="S741" s="2">
        <f t="shared" si="176"/>
        <v>4.45</v>
      </c>
      <c r="T741" s="2"/>
      <c r="U741" s="2"/>
      <c r="Y741" s="8">
        <f t="shared" si="177"/>
        <v>1.6019999999999999</v>
      </c>
    </row>
    <row r="742" spans="1:25" x14ac:dyDescent="0.25">
      <c r="A742" s="34">
        <f t="shared" si="185"/>
        <v>734</v>
      </c>
      <c r="B742" s="35" t="e">
        <f t="shared" si="185"/>
        <v>#REF!</v>
      </c>
      <c r="C742" s="40" t="s">
        <v>212</v>
      </c>
      <c r="D742" s="41" t="s">
        <v>220</v>
      </c>
      <c r="E742" s="35"/>
      <c r="F742" s="36">
        <f>156051/1000000</f>
        <v>0.156051</v>
      </c>
      <c r="G742" s="36">
        <f t="shared" si="186"/>
        <v>3.0742047000000002E-2</v>
      </c>
      <c r="H742" s="36">
        <f>50047/1000000</f>
        <v>5.0047000000000001E-2</v>
      </c>
      <c r="I742" s="37">
        <f t="shared" si="187"/>
        <v>7.5070499999999995E-3</v>
      </c>
      <c r="J742" s="32">
        <f t="shared" si="175"/>
        <v>0.11135457500000001</v>
      </c>
      <c r="K742" s="33">
        <f t="shared" si="178"/>
        <v>1.6703186250000002E-2</v>
      </c>
      <c r="L742" s="33"/>
      <c r="O742" s="2">
        <f t="shared" si="179"/>
        <v>2.0852916666666669E-2</v>
      </c>
      <c r="P742" s="2">
        <f t="shared" si="180"/>
        <v>15.014100000000003</v>
      </c>
      <c r="Q742" s="7">
        <f t="shared" si="181"/>
        <v>67.998641304347842</v>
      </c>
      <c r="R742" s="2">
        <v>1.2</v>
      </c>
      <c r="S742" s="2">
        <f t="shared" si="176"/>
        <v>4.45</v>
      </c>
      <c r="T742" s="2"/>
      <c r="U742" s="2"/>
      <c r="Y742" s="8">
        <f t="shared" si="177"/>
        <v>2.4207516304347831</v>
      </c>
    </row>
    <row r="743" spans="1:25" x14ac:dyDescent="0.25">
      <c r="A743" s="34">
        <f t="shared" si="185"/>
        <v>735</v>
      </c>
      <c r="B743" s="35" t="e">
        <f t="shared" si="185"/>
        <v>#REF!</v>
      </c>
      <c r="C743" s="40" t="s">
        <v>221</v>
      </c>
      <c r="D743" s="41" t="s">
        <v>47</v>
      </c>
      <c r="E743" s="35"/>
      <c r="F743" s="36">
        <f>149959/1000000</f>
        <v>0.14995900000000001</v>
      </c>
      <c r="G743" s="36">
        <f t="shared" si="186"/>
        <v>2.9541923000000005E-2</v>
      </c>
      <c r="H743" s="36">
        <f>41952/1000000</f>
        <v>4.1952000000000003E-2</v>
      </c>
      <c r="I743" s="37">
        <f t="shared" si="187"/>
        <v>6.2928000000000003E-3</v>
      </c>
      <c r="J743" s="32">
        <f t="shared" si="175"/>
        <v>9.3343200000000015E-2</v>
      </c>
      <c r="K743" s="33">
        <f t="shared" si="178"/>
        <v>1.4001480000000002E-2</v>
      </c>
      <c r="L743" s="33"/>
      <c r="O743" s="2">
        <f t="shared" si="179"/>
        <v>1.7480000000000002E-2</v>
      </c>
      <c r="P743" s="2">
        <f t="shared" si="180"/>
        <v>12.585600000000001</v>
      </c>
      <c r="Q743" s="7">
        <f t="shared" si="181"/>
        <v>57.000000000000007</v>
      </c>
      <c r="R743" s="2">
        <v>1.2</v>
      </c>
      <c r="S743" s="2">
        <f t="shared" si="176"/>
        <v>4.45</v>
      </c>
      <c r="T743" s="2"/>
      <c r="U743" s="2"/>
      <c r="Y743" s="8">
        <f t="shared" si="177"/>
        <v>2.0292000000000003</v>
      </c>
    </row>
    <row r="744" spans="1:25" x14ac:dyDescent="0.25">
      <c r="A744" s="34">
        <f t="shared" si="185"/>
        <v>736</v>
      </c>
      <c r="B744" s="35" t="e">
        <f t="shared" si="185"/>
        <v>#REF!</v>
      </c>
      <c r="C744" s="40" t="s">
        <v>221</v>
      </c>
      <c r="D744" s="41" t="s">
        <v>62</v>
      </c>
      <c r="E744" s="35"/>
      <c r="F744" s="36">
        <f>108580/1000000</f>
        <v>0.10858</v>
      </c>
      <c r="G744" s="36">
        <f t="shared" si="186"/>
        <v>2.1390260000000001E-2</v>
      </c>
      <c r="H744" s="36">
        <v>0</v>
      </c>
      <c r="I744" s="37">
        <f t="shared" si="187"/>
        <v>0</v>
      </c>
      <c r="J744" s="32">
        <f t="shared" si="175"/>
        <v>0</v>
      </c>
      <c r="K744" s="33">
        <f t="shared" si="178"/>
        <v>0</v>
      </c>
      <c r="L744" s="33"/>
      <c r="O744" s="2">
        <f t="shared" si="179"/>
        <v>0</v>
      </c>
      <c r="P744" s="2">
        <f t="shared" si="180"/>
        <v>0</v>
      </c>
      <c r="Q744" s="7">
        <f t="shared" si="181"/>
        <v>0</v>
      </c>
      <c r="R744" s="2">
        <v>1.2</v>
      </c>
      <c r="S744" s="2">
        <f t="shared" si="176"/>
        <v>4.45</v>
      </c>
      <c r="T744" s="2"/>
      <c r="U744" s="2"/>
      <c r="Y744" s="8">
        <f t="shared" si="177"/>
        <v>0</v>
      </c>
    </row>
    <row r="745" spans="1:25" x14ac:dyDescent="0.25">
      <c r="A745" s="34">
        <f t="shared" si="185"/>
        <v>737</v>
      </c>
      <c r="B745" s="35" t="e">
        <f t="shared" si="185"/>
        <v>#REF!</v>
      </c>
      <c r="C745" s="40" t="s">
        <v>221</v>
      </c>
      <c r="D745" s="35">
        <v>20</v>
      </c>
      <c r="E745" s="35"/>
      <c r="F745" s="36">
        <f>109610/1000000</f>
        <v>0.10961</v>
      </c>
      <c r="G745" s="36">
        <f t="shared" si="186"/>
        <v>2.1593170000000002E-2</v>
      </c>
      <c r="H745" s="36"/>
      <c r="I745" s="37">
        <f t="shared" si="187"/>
        <v>0</v>
      </c>
      <c r="J745" s="32">
        <f t="shared" si="175"/>
        <v>0</v>
      </c>
      <c r="K745" s="33">
        <f t="shared" si="178"/>
        <v>0</v>
      </c>
      <c r="L745" s="33"/>
      <c r="O745" s="2">
        <f t="shared" si="179"/>
        <v>0</v>
      </c>
      <c r="P745" s="2">
        <f t="shared" si="180"/>
        <v>0</v>
      </c>
      <c r="Q745" s="7">
        <f t="shared" si="181"/>
        <v>0</v>
      </c>
      <c r="R745" s="2">
        <v>1.2</v>
      </c>
      <c r="S745" s="2">
        <f t="shared" si="176"/>
        <v>4.45</v>
      </c>
      <c r="T745" s="2"/>
      <c r="U745" s="2"/>
      <c r="Y745" s="8">
        <f t="shared" si="177"/>
        <v>0</v>
      </c>
    </row>
    <row r="746" spans="1:25" x14ac:dyDescent="0.25">
      <c r="A746" s="34">
        <f t="shared" si="185"/>
        <v>738</v>
      </c>
      <c r="B746" s="35" t="e">
        <f t="shared" si="185"/>
        <v>#REF!</v>
      </c>
      <c r="C746" s="40" t="s">
        <v>221</v>
      </c>
      <c r="D746" s="35">
        <v>22</v>
      </c>
      <c r="E746" s="35"/>
      <c r="F746" s="36">
        <f>110297/1000000</f>
        <v>0.11029700000000001</v>
      </c>
      <c r="G746" s="36">
        <f t="shared" si="186"/>
        <v>2.1728509000000003E-2</v>
      </c>
      <c r="H746" s="36">
        <v>0</v>
      </c>
      <c r="I746" s="37">
        <f t="shared" si="187"/>
        <v>0</v>
      </c>
      <c r="J746" s="32">
        <f t="shared" si="175"/>
        <v>0</v>
      </c>
      <c r="K746" s="33">
        <f t="shared" si="178"/>
        <v>0</v>
      </c>
      <c r="L746" s="33"/>
      <c r="O746" s="2">
        <f t="shared" si="179"/>
        <v>0</v>
      </c>
      <c r="P746" s="2">
        <f t="shared" si="180"/>
        <v>0</v>
      </c>
      <c r="Q746" s="7">
        <f t="shared" si="181"/>
        <v>0</v>
      </c>
      <c r="R746" s="2">
        <v>1.2</v>
      </c>
      <c r="S746" s="2">
        <f t="shared" si="176"/>
        <v>4.45</v>
      </c>
      <c r="T746" s="2"/>
      <c r="U746" s="2"/>
      <c r="Y746" s="8">
        <f t="shared" si="177"/>
        <v>0</v>
      </c>
    </row>
    <row r="747" spans="1:25" x14ac:dyDescent="0.25">
      <c r="A747" s="34">
        <f t="shared" si="185"/>
        <v>739</v>
      </c>
      <c r="B747" s="35" t="e">
        <f t="shared" si="185"/>
        <v>#REF!</v>
      </c>
      <c r="C747" s="40" t="s">
        <v>221</v>
      </c>
      <c r="D747" s="35">
        <v>28</v>
      </c>
      <c r="E747" s="35"/>
      <c r="F747" s="36">
        <f>115022/1000000</f>
        <v>0.115022</v>
      </c>
      <c r="G747" s="36">
        <f t="shared" si="186"/>
        <v>2.2659334E-2</v>
      </c>
      <c r="H747" s="36">
        <f>59616/1000000</f>
        <v>5.9616000000000002E-2</v>
      </c>
      <c r="I747" s="37">
        <f t="shared" si="187"/>
        <v>8.9423999999999997E-3</v>
      </c>
      <c r="J747" s="32">
        <f t="shared" si="175"/>
        <v>0.1326456</v>
      </c>
      <c r="K747" s="33">
        <f t="shared" si="178"/>
        <v>1.9896839999999999E-2</v>
      </c>
      <c r="L747" s="33"/>
      <c r="O747" s="2">
        <f t="shared" si="179"/>
        <v>2.4840000000000001E-2</v>
      </c>
      <c r="P747" s="2">
        <f t="shared" si="180"/>
        <v>17.884800000000002</v>
      </c>
      <c r="Q747" s="7">
        <f t="shared" si="181"/>
        <v>81.000000000000014</v>
      </c>
      <c r="R747" s="2">
        <v>1.2</v>
      </c>
      <c r="S747" s="2">
        <f t="shared" si="176"/>
        <v>4.45</v>
      </c>
      <c r="T747" s="2"/>
      <c r="U747" s="2"/>
      <c r="Y747" s="8">
        <f t="shared" si="177"/>
        <v>2.8835999999999999</v>
      </c>
    </row>
    <row r="748" spans="1:25" x14ac:dyDescent="0.25">
      <c r="A748" s="34">
        <f t="shared" ref="A748:B763" si="188">A747+1</f>
        <v>740</v>
      </c>
      <c r="B748" s="35" t="e">
        <f t="shared" si="188"/>
        <v>#REF!</v>
      </c>
      <c r="C748" s="40" t="s">
        <v>221</v>
      </c>
      <c r="D748" s="35">
        <v>30</v>
      </c>
      <c r="E748" s="35"/>
      <c r="F748" s="36">
        <f>115259/1000000</f>
        <v>0.115259</v>
      </c>
      <c r="G748" s="36">
        <f t="shared" si="186"/>
        <v>2.2706023000000002E-2</v>
      </c>
      <c r="H748" s="36">
        <f>57406/1000000</f>
        <v>5.7405999999999999E-2</v>
      </c>
      <c r="I748" s="37">
        <f t="shared" si="187"/>
        <v>8.6108999999999995E-3</v>
      </c>
      <c r="J748" s="32">
        <f t="shared" si="175"/>
        <v>0.12772834999999999</v>
      </c>
      <c r="K748" s="33">
        <f t="shared" si="178"/>
        <v>1.9159252499999998E-2</v>
      </c>
      <c r="L748" s="33"/>
      <c r="O748" s="2">
        <f t="shared" si="179"/>
        <v>2.3919166666666668E-2</v>
      </c>
      <c r="P748" s="2">
        <f t="shared" si="180"/>
        <v>17.221800000000002</v>
      </c>
      <c r="Q748" s="7">
        <f t="shared" si="181"/>
        <v>77.997282608695656</v>
      </c>
      <c r="R748" s="2">
        <v>1.2</v>
      </c>
      <c r="S748" s="2">
        <f t="shared" si="176"/>
        <v>4.45</v>
      </c>
      <c r="T748" s="2"/>
      <c r="U748" s="2"/>
      <c r="Y748" s="8">
        <f t="shared" si="177"/>
        <v>2.776703260869565</v>
      </c>
    </row>
    <row r="749" spans="1:25" x14ac:dyDescent="0.25">
      <c r="A749" s="34">
        <f t="shared" si="188"/>
        <v>741</v>
      </c>
      <c r="B749" s="35" t="e">
        <f t="shared" si="188"/>
        <v>#REF!</v>
      </c>
      <c r="C749" s="40" t="s">
        <v>221</v>
      </c>
      <c r="D749" s="35" t="s">
        <v>127</v>
      </c>
      <c r="E749" s="35"/>
      <c r="F749" s="36">
        <f>118386/1000000</f>
        <v>0.11838600000000001</v>
      </c>
      <c r="G749" s="36">
        <f t="shared" si="186"/>
        <v>2.3322042000000001E-2</v>
      </c>
      <c r="H749" s="36">
        <f>39043/1000000</f>
        <v>3.9043000000000001E-2</v>
      </c>
      <c r="I749" s="37">
        <f t="shared" si="187"/>
        <v>5.85645E-3</v>
      </c>
      <c r="J749" s="32">
        <f t="shared" si="175"/>
        <v>8.6870675000000008E-2</v>
      </c>
      <c r="K749" s="33">
        <f t="shared" si="178"/>
        <v>1.3030601250000001E-2</v>
      </c>
      <c r="L749" s="33"/>
      <c r="O749" s="2">
        <f t="shared" si="179"/>
        <v>1.6267916666666667E-2</v>
      </c>
      <c r="P749" s="2">
        <f t="shared" si="180"/>
        <v>11.712899999999999</v>
      </c>
      <c r="Q749" s="7">
        <f t="shared" si="181"/>
        <v>53.047554347826086</v>
      </c>
      <c r="R749" s="2">
        <v>1.2</v>
      </c>
      <c r="S749" s="2">
        <f t="shared" si="176"/>
        <v>4.45</v>
      </c>
      <c r="T749" s="2"/>
      <c r="U749" s="2"/>
      <c r="Y749" s="8">
        <f t="shared" si="177"/>
        <v>1.8884929347826087</v>
      </c>
    </row>
    <row r="750" spans="1:25" x14ac:dyDescent="0.25">
      <c r="A750" s="34">
        <f t="shared" si="188"/>
        <v>742</v>
      </c>
      <c r="B750" s="35" t="e">
        <f t="shared" si="188"/>
        <v>#REF!</v>
      </c>
      <c r="C750" s="40" t="s">
        <v>221</v>
      </c>
      <c r="D750" s="35">
        <v>36</v>
      </c>
      <c r="E750" s="35"/>
      <c r="F750" s="36">
        <v>0.15240000000000001</v>
      </c>
      <c r="G750" s="36">
        <f t="shared" si="186"/>
        <v>3.0022800000000002E-2</v>
      </c>
      <c r="H750" s="36">
        <f>58142/1000000+0.00046</f>
        <v>5.8602000000000001E-2</v>
      </c>
      <c r="I750" s="37">
        <f t="shared" si="187"/>
        <v>8.7902999999999992E-3</v>
      </c>
      <c r="J750" s="32">
        <f t="shared" si="175"/>
        <v>0.13038945000000002</v>
      </c>
      <c r="K750" s="33">
        <f t="shared" si="178"/>
        <v>1.9558417500000001E-2</v>
      </c>
      <c r="L750" s="33"/>
      <c r="O750" s="2">
        <f t="shared" si="179"/>
        <v>2.4417500000000002E-2</v>
      </c>
      <c r="P750" s="2">
        <f t="shared" si="180"/>
        <v>17.5806</v>
      </c>
      <c r="Q750" s="7">
        <f t="shared" si="181"/>
        <v>79.622282608695656</v>
      </c>
      <c r="R750" s="2">
        <v>1.2</v>
      </c>
      <c r="S750" s="2">
        <f t="shared" si="176"/>
        <v>4.45</v>
      </c>
      <c r="T750" s="2"/>
      <c r="U750" s="2"/>
      <c r="Y750" s="8">
        <f t="shared" si="177"/>
        <v>2.8345532608695656</v>
      </c>
    </row>
    <row r="751" spans="1:25" x14ac:dyDescent="0.25">
      <c r="A751" s="34">
        <f t="shared" si="188"/>
        <v>743</v>
      </c>
      <c r="B751" s="35" t="e">
        <f t="shared" si="188"/>
        <v>#REF!</v>
      </c>
      <c r="C751" s="40" t="s">
        <v>221</v>
      </c>
      <c r="D751" s="35" t="s">
        <v>222</v>
      </c>
      <c r="E751" s="35"/>
      <c r="F751" s="36">
        <f>142316/1000000</f>
        <v>0.142316</v>
      </c>
      <c r="G751" s="36">
        <f t="shared" si="186"/>
        <v>2.8036252000000001E-2</v>
      </c>
      <c r="H751" s="36">
        <f>52994/1000000</f>
        <v>5.2993999999999999E-2</v>
      </c>
      <c r="I751" s="37">
        <f t="shared" si="187"/>
        <v>7.9490999999999989E-3</v>
      </c>
      <c r="J751" s="32">
        <f t="shared" si="175"/>
        <v>0.11791165000000001</v>
      </c>
      <c r="K751" s="33">
        <f t="shared" si="178"/>
        <v>1.7686747499999999E-2</v>
      </c>
      <c r="L751" s="33"/>
      <c r="O751" s="2">
        <f t="shared" si="179"/>
        <v>2.2080833333333334E-2</v>
      </c>
      <c r="P751" s="2">
        <f t="shared" si="180"/>
        <v>15.898200000000003</v>
      </c>
      <c r="Q751" s="7">
        <f t="shared" si="181"/>
        <v>72.002717391304358</v>
      </c>
      <c r="R751" s="2">
        <v>1.2</v>
      </c>
      <c r="S751" s="2">
        <f t="shared" si="176"/>
        <v>4.45</v>
      </c>
      <c r="T751" s="2"/>
      <c r="U751" s="2"/>
      <c r="Y751" s="8">
        <f t="shared" si="177"/>
        <v>2.5632967391304349</v>
      </c>
    </row>
    <row r="752" spans="1:25" x14ac:dyDescent="0.25">
      <c r="A752" s="34">
        <f t="shared" si="188"/>
        <v>744</v>
      </c>
      <c r="B752" s="35" t="e">
        <f t="shared" si="188"/>
        <v>#REF!</v>
      </c>
      <c r="C752" s="40" t="s">
        <v>221</v>
      </c>
      <c r="D752" s="35" t="s">
        <v>223</v>
      </c>
      <c r="E752" s="35"/>
      <c r="F752" s="36">
        <f>142316/1000000</f>
        <v>0.142316</v>
      </c>
      <c r="G752" s="36">
        <f t="shared" si="186"/>
        <v>2.8036252000000001E-2</v>
      </c>
      <c r="H752" s="36">
        <f>58879/1000000</f>
        <v>5.8879000000000001E-2</v>
      </c>
      <c r="I752" s="37">
        <f t="shared" si="187"/>
        <v>8.8318500000000005E-3</v>
      </c>
      <c r="J752" s="32">
        <f t="shared" si="175"/>
        <v>0.13100577500000002</v>
      </c>
      <c r="K752" s="33">
        <f t="shared" si="178"/>
        <v>1.9650866250000003E-2</v>
      </c>
      <c r="L752" s="33"/>
      <c r="O752" s="2">
        <f t="shared" si="179"/>
        <v>2.4532916666666668E-2</v>
      </c>
      <c r="P752" s="2">
        <f t="shared" si="180"/>
        <v>17.663700000000002</v>
      </c>
      <c r="Q752" s="7">
        <f t="shared" si="181"/>
        <v>79.998641304347842</v>
      </c>
      <c r="R752" s="2">
        <v>1.2</v>
      </c>
      <c r="S752" s="2">
        <f t="shared" si="176"/>
        <v>4.45</v>
      </c>
      <c r="T752" s="2"/>
      <c r="U752" s="2"/>
      <c r="Y752" s="8">
        <f t="shared" si="177"/>
        <v>2.8479516304347832</v>
      </c>
    </row>
    <row r="753" spans="1:25" x14ac:dyDescent="0.25">
      <c r="A753" s="34">
        <f t="shared" si="188"/>
        <v>745</v>
      </c>
      <c r="B753" s="35" t="e">
        <f t="shared" si="188"/>
        <v>#REF!</v>
      </c>
      <c r="C753" s="40" t="s">
        <v>221</v>
      </c>
      <c r="D753" s="35">
        <v>38</v>
      </c>
      <c r="E753" s="35"/>
      <c r="F753" s="36">
        <f>142774/1000000</f>
        <v>0.14277400000000001</v>
      </c>
      <c r="G753" s="36">
        <f t="shared" si="186"/>
        <v>2.8126478000000003E-2</v>
      </c>
      <c r="H753" s="36">
        <f>62561/1000000</f>
        <v>6.2561000000000005E-2</v>
      </c>
      <c r="I753" s="37">
        <f t="shared" si="187"/>
        <v>9.3841500000000008E-3</v>
      </c>
      <c r="J753" s="32">
        <f t="shared" si="175"/>
        <v>0.13919822500000001</v>
      </c>
      <c r="K753" s="33">
        <f t="shared" si="178"/>
        <v>2.0879733750000001E-2</v>
      </c>
      <c r="L753" s="33"/>
      <c r="O753" s="2">
        <f t="shared" si="179"/>
        <v>2.6067083333333338E-2</v>
      </c>
      <c r="P753" s="2">
        <f t="shared" si="180"/>
        <v>18.768300000000004</v>
      </c>
      <c r="Q753" s="7">
        <f t="shared" si="181"/>
        <v>85.001358695652186</v>
      </c>
      <c r="R753" s="2">
        <v>1.2</v>
      </c>
      <c r="S753" s="2">
        <f t="shared" si="176"/>
        <v>4.45</v>
      </c>
      <c r="T753" s="2"/>
      <c r="U753" s="2"/>
      <c r="Y753" s="8">
        <f t="shared" si="177"/>
        <v>3.0260483695652178</v>
      </c>
    </row>
    <row r="754" spans="1:25" x14ac:dyDescent="0.25">
      <c r="A754" s="34">
        <f t="shared" si="188"/>
        <v>746</v>
      </c>
      <c r="B754" s="35" t="e">
        <f t="shared" si="188"/>
        <v>#REF!</v>
      </c>
      <c r="C754" s="40" t="s">
        <v>221</v>
      </c>
      <c r="D754" s="35" t="s">
        <v>111</v>
      </c>
      <c r="E754" s="35"/>
      <c r="F754" s="36">
        <f>168214/1000000</f>
        <v>0.168214</v>
      </c>
      <c r="G754" s="36">
        <f t="shared" si="186"/>
        <v>3.3138158000000001E-2</v>
      </c>
      <c r="H754" s="36">
        <f>66240/1000000</f>
        <v>6.6239999999999993E-2</v>
      </c>
      <c r="I754" s="37">
        <f t="shared" si="187"/>
        <v>9.9359999999999987E-3</v>
      </c>
      <c r="J754" s="32">
        <f t="shared" si="175"/>
        <v>0.14738399999999999</v>
      </c>
      <c r="K754" s="33">
        <f t="shared" si="178"/>
        <v>2.2107599999999998E-2</v>
      </c>
      <c r="L754" s="24" t="s">
        <v>16</v>
      </c>
      <c r="O754" s="2">
        <f t="shared" si="179"/>
        <v>2.76E-2</v>
      </c>
      <c r="P754" s="2">
        <f t="shared" si="180"/>
        <v>19.872</v>
      </c>
      <c r="Q754" s="7">
        <f t="shared" si="181"/>
        <v>90</v>
      </c>
      <c r="R754" s="2">
        <v>1.2</v>
      </c>
      <c r="S754" s="2">
        <f t="shared" si="176"/>
        <v>4.45</v>
      </c>
      <c r="T754" s="2"/>
      <c r="U754" s="2"/>
      <c r="Y754" s="8">
        <f t="shared" si="177"/>
        <v>3.2039999999999997</v>
      </c>
    </row>
    <row r="755" spans="1:25" x14ac:dyDescent="0.25">
      <c r="A755" s="34">
        <f t="shared" si="188"/>
        <v>747</v>
      </c>
      <c r="B755" s="35" t="e">
        <f t="shared" si="188"/>
        <v>#REF!</v>
      </c>
      <c r="C755" s="40" t="s">
        <v>221</v>
      </c>
      <c r="D755" s="35" t="s">
        <v>224</v>
      </c>
      <c r="E755" s="35"/>
      <c r="F755" s="36">
        <f>158210/1000000</f>
        <v>0.15820999999999999</v>
      </c>
      <c r="G755" s="36">
        <f t="shared" si="186"/>
        <v>3.116737E-2</v>
      </c>
      <c r="H755" s="36">
        <f>63298/1000000</f>
        <v>6.3297999999999993E-2</v>
      </c>
      <c r="I755" s="37">
        <f t="shared" si="187"/>
        <v>9.4946999999999983E-3</v>
      </c>
      <c r="J755" s="32">
        <f t="shared" si="175"/>
        <v>0.14083804999999999</v>
      </c>
      <c r="K755" s="33">
        <f t="shared" si="178"/>
        <v>2.1125707499999997E-2</v>
      </c>
      <c r="L755" s="33"/>
      <c r="O755" s="2">
        <f t="shared" si="179"/>
        <v>2.6374166666666664E-2</v>
      </c>
      <c r="P755" s="2">
        <f t="shared" si="180"/>
        <v>18.989399999999996</v>
      </c>
      <c r="Q755" s="7">
        <f t="shared" si="181"/>
        <v>86.00271739130433</v>
      </c>
      <c r="R755" s="2">
        <v>1.2</v>
      </c>
      <c r="S755" s="2">
        <f t="shared" si="176"/>
        <v>4.45</v>
      </c>
      <c r="T755" s="2"/>
      <c r="U755" s="2"/>
      <c r="Y755" s="8">
        <f t="shared" si="177"/>
        <v>3.0616967391304346</v>
      </c>
    </row>
    <row r="756" spans="1:25" x14ac:dyDescent="0.25">
      <c r="A756" s="34">
        <f t="shared" si="188"/>
        <v>748</v>
      </c>
      <c r="B756" s="35" t="e">
        <f t="shared" si="188"/>
        <v>#REF!</v>
      </c>
      <c r="C756" s="40" t="s">
        <v>221</v>
      </c>
      <c r="D756" s="35">
        <v>40</v>
      </c>
      <c r="E756" s="35"/>
      <c r="F756" s="36">
        <f>142469/1000000</f>
        <v>0.14246900000000001</v>
      </c>
      <c r="G756" s="36">
        <f t="shared" si="186"/>
        <v>2.8066393000000002E-2</v>
      </c>
      <c r="H756" s="36">
        <f>61824/1000000</f>
        <v>6.1823999999999997E-2</v>
      </c>
      <c r="I756" s="37">
        <f t="shared" si="187"/>
        <v>9.2735999999999999E-3</v>
      </c>
      <c r="J756" s="32">
        <f t="shared" si="175"/>
        <v>0.13755839999999997</v>
      </c>
      <c r="K756" s="33">
        <f t="shared" si="178"/>
        <v>2.0633759999999994E-2</v>
      </c>
      <c r="L756" s="33"/>
      <c r="O756" s="2">
        <f t="shared" si="179"/>
        <v>2.5759999999999998E-2</v>
      </c>
      <c r="P756" s="2">
        <f t="shared" si="180"/>
        <v>18.547199999999997</v>
      </c>
      <c r="Q756" s="7">
        <f t="shared" si="181"/>
        <v>83.999999999999986</v>
      </c>
      <c r="R756" s="2">
        <v>1.2</v>
      </c>
      <c r="S756" s="2">
        <f t="shared" si="176"/>
        <v>4.45</v>
      </c>
      <c r="T756" s="2"/>
      <c r="U756" s="2"/>
      <c r="Y756" s="8">
        <f t="shared" si="177"/>
        <v>2.9903999999999993</v>
      </c>
    </row>
    <row r="757" spans="1:25" x14ac:dyDescent="0.25">
      <c r="A757" s="34">
        <f t="shared" si="188"/>
        <v>749</v>
      </c>
      <c r="B757" s="35" t="e">
        <f t="shared" si="188"/>
        <v>#REF!</v>
      </c>
      <c r="C757" s="40" t="s">
        <v>221</v>
      </c>
      <c r="D757" s="35" t="s">
        <v>225</v>
      </c>
      <c r="E757" s="35"/>
      <c r="F757" s="36">
        <f>143574/1000000</f>
        <v>0.14357400000000001</v>
      </c>
      <c r="G757" s="36">
        <f t="shared" si="186"/>
        <v>2.8284078000000004E-2</v>
      </c>
      <c r="H757" s="36">
        <f>72864/1000000</f>
        <v>7.2863999999999998E-2</v>
      </c>
      <c r="I757" s="37">
        <f t="shared" si="187"/>
        <v>1.0929599999999999E-2</v>
      </c>
      <c r="J757" s="32">
        <f t="shared" si="175"/>
        <v>0.1621224</v>
      </c>
      <c r="K757" s="33">
        <f t="shared" si="178"/>
        <v>2.4318360000000001E-2</v>
      </c>
      <c r="L757" s="33"/>
      <c r="O757" s="2">
        <f t="shared" si="179"/>
        <v>3.0360000000000002E-2</v>
      </c>
      <c r="P757" s="2">
        <f t="shared" si="180"/>
        <v>21.859200000000001</v>
      </c>
      <c r="Q757" s="7">
        <f t="shared" si="181"/>
        <v>99.000000000000014</v>
      </c>
      <c r="R757" s="2">
        <v>1.2</v>
      </c>
      <c r="S757" s="2">
        <f t="shared" si="176"/>
        <v>4.45</v>
      </c>
      <c r="T757" s="2"/>
      <c r="U757" s="2"/>
      <c r="Y757" s="8">
        <f t="shared" si="177"/>
        <v>3.5244</v>
      </c>
    </row>
    <row r="758" spans="1:25" x14ac:dyDescent="0.25">
      <c r="A758" s="34">
        <f t="shared" si="188"/>
        <v>750</v>
      </c>
      <c r="B758" s="35" t="e">
        <f t="shared" si="188"/>
        <v>#REF!</v>
      </c>
      <c r="C758" s="40" t="s">
        <v>221</v>
      </c>
      <c r="D758" s="35">
        <v>42</v>
      </c>
      <c r="E758" s="35"/>
      <c r="F758" s="36">
        <f>141819/1000000</f>
        <v>0.141819</v>
      </c>
      <c r="G758" s="36">
        <f t="shared" si="186"/>
        <v>2.7938343000000001E-2</v>
      </c>
      <c r="H758" s="36">
        <f>55200/1000000</f>
        <v>5.5199999999999999E-2</v>
      </c>
      <c r="I758" s="37">
        <f t="shared" si="187"/>
        <v>8.2799999999999992E-3</v>
      </c>
      <c r="J758" s="32">
        <f t="shared" si="175"/>
        <v>0.12282</v>
      </c>
      <c r="K758" s="33">
        <f t="shared" si="178"/>
        <v>1.8422999999999998E-2</v>
      </c>
      <c r="L758" s="33"/>
      <c r="O758" s="2">
        <f t="shared" si="179"/>
        <v>2.3E-2</v>
      </c>
      <c r="P758" s="2">
        <f t="shared" si="180"/>
        <v>16.560000000000002</v>
      </c>
      <c r="Q758" s="7">
        <f t="shared" si="181"/>
        <v>75.000000000000014</v>
      </c>
      <c r="R758" s="2">
        <v>1.2</v>
      </c>
      <c r="S758" s="2">
        <f t="shared" si="176"/>
        <v>4.45</v>
      </c>
      <c r="T758" s="2"/>
      <c r="U758" s="2"/>
      <c r="Y758" s="8">
        <f t="shared" si="177"/>
        <v>2.67</v>
      </c>
    </row>
    <row r="759" spans="1:25" x14ac:dyDescent="0.25">
      <c r="A759" s="34">
        <f t="shared" si="188"/>
        <v>751</v>
      </c>
      <c r="B759" s="35" t="e">
        <f t="shared" si="188"/>
        <v>#REF!</v>
      </c>
      <c r="C759" s="40" t="s">
        <v>221</v>
      </c>
      <c r="D759" s="35" t="s">
        <v>226</v>
      </c>
      <c r="E759" s="35"/>
      <c r="F759" s="36">
        <f>140921/1000000</f>
        <v>0.14092099999999999</v>
      </c>
      <c r="G759" s="36">
        <f t="shared" si="186"/>
        <v>2.7761437E-2</v>
      </c>
      <c r="H759" s="36">
        <f>64766/1000000</f>
        <v>6.4766000000000004E-2</v>
      </c>
      <c r="I759" s="37">
        <f t="shared" si="187"/>
        <v>9.7149000000000003E-3</v>
      </c>
      <c r="J759" s="32">
        <f t="shared" si="175"/>
        <v>0.14410435000000002</v>
      </c>
      <c r="K759" s="33">
        <f t="shared" si="178"/>
        <v>2.1615652500000002E-2</v>
      </c>
      <c r="L759" s="33"/>
      <c r="O759" s="2">
        <f t="shared" si="179"/>
        <v>2.6985833333333337E-2</v>
      </c>
      <c r="P759" s="2">
        <f t="shared" si="180"/>
        <v>19.429800000000004</v>
      </c>
      <c r="Q759" s="7">
        <f t="shared" si="181"/>
        <v>87.99728260869567</v>
      </c>
      <c r="R759" s="2">
        <v>1.2</v>
      </c>
      <c r="S759" s="2">
        <f t="shared" si="176"/>
        <v>4.45</v>
      </c>
      <c r="T759" s="2"/>
      <c r="U759" s="2"/>
      <c r="Y759" s="8">
        <f t="shared" si="177"/>
        <v>3.1327032608695657</v>
      </c>
    </row>
    <row r="760" spans="1:25" x14ac:dyDescent="0.25">
      <c r="A760" s="34">
        <f t="shared" si="188"/>
        <v>752</v>
      </c>
      <c r="B760" s="35" t="e">
        <f t="shared" si="188"/>
        <v>#REF!</v>
      </c>
      <c r="C760" s="40" t="s">
        <v>221</v>
      </c>
      <c r="D760" s="35">
        <v>44</v>
      </c>
      <c r="E760" s="35"/>
      <c r="F760" s="36">
        <f>142545/1000000</f>
        <v>0.14254500000000001</v>
      </c>
      <c r="G760" s="36">
        <f t="shared" si="186"/>
        <v>2.8081365E-2</v>
      </c>
      <c r="H760" s="36">
        <f>64034/1000000</f>
        <v>6.4033999999999994E-2</v>
      </c>
      <c r="I760" s="37">
        <f t="shared" si="187"/>
        <v>9.6050999999999984E-3</v>
      </c>
      <c r="J760" s="32">
        <f t="shared" si="175"/>
        <v>0.14247564999999998</v>
      </c>
      <c r="K760" s="33">
        <f t="shared" si="178"/>
        <v>2.1371347499999995E-2</v>
      </c>
      <c r="L760" s="33"/>
      <c r="O760" s="2">
        <f t="shared" si="179"/>
        <v>2.6680833333333331E-2</v>
      </c>
      <c r="P760" s="2">
        <f t="shared" si="180"/>
        <v>19.210199999999997</v>
      </c>
      <c r="Q760" s="7">
        <f t="shared" si="181"/>
        <v>87.00271739130433</v>
      </c>
      <c r="R760" s="2">
        <v>1.2</v>
      </c>
      <c r="S760" s="2">
        <f t="shared" si="176"/>
        <v>4.45</v>
      </c>
      <c r="T760" s="2"/>
      <c r="U760" s="2"/>
      <c r="Y760" s="8">
        <f t="shared" si="177"/>
        <v>3.0972967391304342</v>
      </c>
    </row>
    <row r="761" spans="1:25" x14ac:dyDescent="0.25">
      <c r="A761" s="34">
        <f t="shared" si="188"/>
        <v>753</v>
      </c>
      <c r="B761" s="35" t="e">
        <f t="shared" si="188"/>
        <v>#REF!</v>
      </c>
      <c r="C761" s="40" t="s">
        <v>221</v>
      </c>
      <c r="D761" s="35">
        <v>46</v>
      </c>
      <c r="E761" s="35"/>
      <c r="F761" s="36">
        <f>167053/1000000</f>
        <v>0.16705300000000001</v>
      </c>
      <c r="G761" s="36">
        <f t="shared" si="186"/>
        <v>3.2909441000000005E-2</v>
      </c>
      <c r="H761" s="36">
        <f>71393/1000000</f>
        <v>7.1392999999999998E-2</v>
      </c>
      <c r="I761" s="37">
        <f t="shared" si="187"/>
        <v>1.070895E-2</v>
      </c>
      <c r="J761" s="32">
        <f t="shared" si="175"/>
        <v>0.15884942499999999</v>
      </c>
      <c r="K761" s="33">
        <f t="shared" si="178"/>
        <v>2.3827413749999998E-2</v>
      </c>
      <c r="L761" s="33"/>
      <c r="O761" s="2">
        <f t="shared" si="179"/>
        <v>2.9747083333333334E-2</v>
      </c>
      <c r="P761" s="2">
        <f t="shared" si="180"/>
        <v>21.417899999999999</v>
      </c>
      <c r="Q761" s="7">
        <f t="shared" si="181"/>
        <v>97.001358695652172</v>
      </c>
      <c r="R761" s="2">
        <v>1.2</v>
      </c>
      <c r="S761" s="2">
        <f t="shared" si="176"/>
        <v>4.45</v>
      </c>
      <c r="T761" s="2"/>
      <c r="U761" s="2"/>
      <c r="Y761" s="8">
        <f t="shared" si="177"/>
        <v>3.4532483695652174</v>
      </c>
    </row>
    <row r="762" spans="1:25" x14ac:dyDescent="0.25">
      <c r="A762" s="34">
        <f t="shared" si="188"/>
        <v>754</v>
      </c>
      <c r="B762" s="35" t="e">
        <f t="shared" si="188"/>
        <v>#REF!</v>
      </c>
      <c r="C762" s="40" t="s">
        <v>227</v>
      </c>
      <c r="D762" s="35">
        <v>8</v>
      </c>
      <c r="E762" s="35"/>
      <c r="F762" s="36">
        <v>5.1900000000000002E-2</v>
      </c>
      <c r="G762" s="36">
        <v>1.23E-2</v>
      </c>
      <c r="H762" s="36">
        <f>9566/1000000</f>
        <v>9.5659999999999999E-3</v>
      </c>
      <c r="I762" s="37">
        <f t="shared" si="187"/>
        <v>1.4349E-3</v>
      </c>
      <c r="J762" s="32">
        <f t="shared" si="175"/>
        <v>2.128435E-2</v>
      </c>
      <c r="K762" s="33">
        <f t="shared" si="178"/>
        <v>3.1926525E-3</v>
      </c>
      <c r="L762" s="24" t="s">
        <v>16</v>
      </c>
      <c r="O762" s="2">
        <f t="shared" si="179"/>
        <v>3.9858333333333334E-3</v>
      </c>
      <c r="P762" s="2">
        <f t="shared" si="180"/>
        <v>2.8697999999999997</v>
      </c>
      <c r="Q762" s="7">
        <f t="shared" si="181"/>
        <v>12.997282608695651</v>
      </c>
      <c r="R762" s="2">
        <v>1.2</v>
      </c>
      <c r="S762" s="2">
        <f t="shared" si="176"/>
        <v>4.45</v>
      </c>
      <c r="T762" s="2"/>
      <c r="U762" s="2"/>
      <c r="Y762" s="8">
        <f t="shared" si="177"/>
        <v>0.4627032608695652</v>
      </c>
    </row>
    <row r="763" spans="1:25" x14ac:dyDescent="0.25">
      <c r="A763" s="34">
        <f t="shared" si="188"/>
        <v>755</v>
      </c>
      <c r="B763" s="35" t="e">
        <f t="shared" si="188"/>
        <v>#REF!</v>
      </c>
      <c r="C763" s="40" t="s">
        <v>227</v>
      </c>
      <c r="D763" s="35">
        <v>10</v>
      </c>
      <c r="E763" s="35"/>
      <c r="F763" s="36">
        <f>60368/1000000</f>
        <v>6.0367999999999998E-2</v>
      </c>
      <c r="G763" s="36">
        <f t="shared" ref="G763:G768" si="189">F763*0.197</f>
        <v>1.1892496000000001E-2</v>
      </c>
      <c r="H763" s="36">
        <f>11060/1000000</f>
        <v>1.106E-2</v>
      </c>
      <c r="I763" s="37">
        <f t="shared" si="187"/>
        <v>1.6590000000000001E-3</v>
      </c>
      <c r="J763" s="32">
        <f t="shared" si="175"/>
        <v>2.4608500000000005E-2</v>
      </c>
      <c r="K763" s="33">
        <f t="shared" si="178"/>
        <v>3.6912750000000008E-3</v>
      </c>
      <c r="L763" s="24" t="s">
        <v>16</v>
      </c>
      <c r="O763" s="2">
        <f t="shared" si="179"/>
        <v>4.6083333333333341E-3</v>
      </c>
      <c r="P763" s="2">
        <f t="shared" si="180"/>
        <v>3.3180000000000005</v>
      </c>
      <c r="Q763" s="7">
        <f t="shared" si="181"/>
        <v>15.02717391304348</v>
      </c>
      <c r="R763" s="2">
        <v>1.2</v>
      </c>
      <c r="S763" s="2">
        <f t="shared" si="176"/>
        <v>4.45</v>
      </c>
      <c r="T763" s="2"/>
      <c r="U763" s="2"/>
      <c r="Y763" s="8">
        <f t="shared" si="177"/>
        <v>0.53496739130434801</v>
      </c>
    </row>
    <row r="764" spans="1:25" x14ac:dyDescent="0.25">
      <c r="A764" s="34">
        <f t="shared" ref="A764:B779" si="190">A763+1</f>
        <v>756</v>
      </c>
      <c r="B764" s="35" t="e">
        <f t="shared" si="190"/>
        <v>#REF!</v>
      </c>
      <c r="C764" s="40" t="s">
        <v>227</v>
      </c>
      <c r="D764" s="35">
        <v>14</v>
      </c>
      <c r="E764" s="35"/>
      <c r="F764" s="36">
        <f>98462/1000000</f>
        <v>9.8461999999999994E-2</v>
      </c>
      <c r="G764" s="36">
        <f t="shared" si="189"/>
        <v>1.9397014000000001E-2</v>
      </c>
      <c r="H764" s="36">
        <f>54464/1000000</f>
        <v>5.4463999999999999E-2</v>
      </c>
      <c r="I764" s="37">
        <f t="shared" si="187"/>
        <v>8.1695999999999991E-3</v>
      </c>
      <c r="J764" s="32">
        <f t="shared" si="175"/>
        <v>0.1211824</v>
      </c>
      <c r="K764" s="33">
        <f t="shared" si="178"/>
        <v>1.817736E-2</v>
      </c>
      <c r="L764" s="33"/>
      <c r="O764" s="2">
        <f t="shared" si="179"/>
        <v>2.2693333333333333E-2</v>
      </c>
      <c r="P764" s="2">
        <f t="shared" si="180"/>
        <v>16.339200000000002</v>
      </c>
      <c r="Q764" s="7">
        <f t="shared" si="181"/>
        <v>74.000000000000014</v>
      </c>
      <c r="R764" s="2">
        <v>1.2</v>
      </c>
      <c r="S764" s="2">
        <f t="shared" si="176"/>
        <v>4.45</v>
      </c>
      <c r="T764" s="2"/>
      <c r="U764" s="2"/>
      <c r="Y764" s="8">
        <f t="shared" si="177"/>
        <v>2.6343999999999999</v>
      </c>
    </row>
    <row r="765" spans="1:25" x14ac:dyDescent="0.25">
      <c r="A765" s="34">
        <f t="shared" si="190"/>
        <v>757</v>
      </c>
      <c r="B765" s="35" t="e">
        <f t="shared" si="190"/>
        <v>#REF!</v>
      </c>
      <c r="C765" s="40" t="s">
        <v>227</v>
      </c>
      <c r="D765" s="35">
        <v>16</v>
      </c>
      <c r="E765" s="35"/>
      <c r="F765" s="36">
        <f>101609/1000000</f>
        <v>0.101609</v>
      </c>
      <c r="G765" s="36">
        <f t="shared" si="189"/>
        <v>2.0016973E-2</v>
      </c>
      <c r="H765" s="36">
        <f>54464/1000000</f>
        <v>5.4463999999999999E-2</v>
      </c>
      <c r="I765" s="37">
        <f t="shared" si="187"/>
        <v>8.1695999999999991E-3</v>
      </c>
      <c r="J765" s="32">
        <f t="shared" si="175"/>
        <v>0.1211824</v>
      </c>
      <c r="K765" s="33">
        <f t="shared" si="178"/>
        <v>1.817736E-2</v>
      </c>
      <c r="L765" s="24" t="s">
        <v>16</v>
      </c>
      <c r="O765" s="2">
        <f t="shared" si="179"/>
        <v>2.2693333333333333E-2</v>
      </c>
      <c r="P765" s="2">
        <f t="shared" si="180"/>
        <v>16.339200000000002</v>
      </c>
      <c r="Q765" s="7">
        <f t="shared" si="181"/>
        <v>74.000000000000014</v>
      </c>
      <c r="R765" s="2">
        <v>1.2</v>
      </c>
      <c r="S765" s="2">
        <f t="shared" si="176"/>
        <v>4.45</v>
      </c>
      <c r="T765" s="2"/>
      <c r="U765" s="2"/>
      <c r="Y765" s="8">
        <f t="shared" si="177"/>
        <v>2.6343999999999999</v>
      </c>
    </row>
    <row r="766" spans="1:25" x14ac:dyDescent="0.25">
      <c r="A766" s="34">
        <f t="shared" si="190"/>
        <v>758</v>
      </c>
      <c r="B766" s="35" t="e">
        <f t="shared" si="190"/>
        <v>#REF!</v>
      </c>
      <c r="C766" s="40" t="s">
        <v>227</v>
      </c>
      <c r="D766" s="35">
        <v>18</v>
      </c>
      <c r="E766" s="35"/>
      <c r="F766" s="36">
        <f>171240/1000000</f>
        <v>0.17124</v>
      </c>
      <c r="G766" s="36">
        <f t="shared" si="189"/>
        <v>3.3734280000000005E-2</v>
      </c>
      <c r="H766" s="36">
        <f>67712/1000000</f>
        <v>6.7711999999999994E-2</v>
      </c>
      <c r="I766" s="37">
        <f t="shared" si="187"/>
        <v>1.0156799999999999E-2</v>
      </c>
      <c r="J766" s="32">
        <f t="shared" si="175"/>
        <v>0.15065919999999999</v>
      </c>
      <c r="K766" s="33">
        <f t="shared" si="178"/>
        <v>2.2598879999999998E-2</v>
      </c>
      <c r="L766" s="24" t="s">
        <v>16</v>
      </c>
      <c r="O766" s="2">
        <f t="shared" si="179"/>
        <v>2.8213333333333333E-2</v>
      </c>
      <c r="P766" s="2">
        <f t="shared" si="180"/>
        <v>20.313599999999997</v>
      </c>
      <c r="Q766" s="7">
        <f t="shared" si="181"/>
        <v>91.999999999999986</v>
      </c>
      <c r="R766" s="2">
        <v>1.2</v>
      </c>
      <c r="S766" s="2">
        <f t="shared" si="176"/>
        <v>4.45</v>
      </c>
      <c r="T766" s="2"/>
      <c r="U766" s="2"/>
      <c r="Y766" s="8">
        <f t="shared" si="177"/>
        <v>3.2751999999999999</v>
      </c>
    </row>
    <row r="767" spans="1:25" x14ac:dyDescent="0.25">
      <c r="A767" s="34">
        <f t="shared" si="190"/>
        <v>759</v>
      </c>
      <c r="B767" s="35" t="e">
        <f t="shared" si="190"/>
        <v>#REF!</v>
      </c>
      <c r="C767" s="40" t="s">
        <v>227</v>
      </c>
      <c r="D767" s="35">
        <v>20</v>
      </c>
      <c r="E767" s="35"/>
      <c r="F767" s="36">
        <f>66780/1000000</f>
        <v>6.6780000000000006E-2</v>
      </c>
      <c r="G767" s="36">
        <f t="shared" si="189"/>
        <v>1.3155660000000001E-2</v>
      </c>
      <c r="H767" s="36">
        <f>49313/1000000</f>
        <v>4.9313000000000003E-2</v>
      </c>
      <c r="I767" s="37">
        <f t="shared" si="187"/>
        <v>7.3969500000000002E-3</v>
      </c>
      <c r="J767" s="32">
        <f t="shared" si="175"/>
        <v>0.10972142500000001</v>
      </c>
      <c r="K767" s="33">
        <f t="shared" si="178"/>
        <v>1.6458213750000002E-2</v>
      </c>
      <c r="L767" s="33"/>
      <c r="O767" s="2">
        <f t="shared" si="179"/>
        <v>2.0547083333333334E-2</v>
      </c>
      <c r="P767" s="2">
        <f t="shared" si="180"/>
        <v>14.793900000000001</v>
      </c>
      <c r="Q767" s="7">
        <f t="shared" si="181"/>
        <v>67.001358695652172</v>
      </c>
      <c r="R767" s="2">
        <v>1.2</v>
      </c>
      <c r="S767" s="2">
        <f t="shared" si="176"/>
        <v>4.45</v>
      </c>
      <c r="T767" s="2"/>
      <c r="U767" s="2"/>
      <c r="Y767" s="8">
        <f t="shared" si="177"/>
        <v>2.3852483695652178</v>
      </c>
    </row>
    <row r="768" spans="1:25" x14ac:dyDescent="0.25">
      <c r="A768" s="34">
        <f t="shared" si="190"/>
        <v>760</v>
      </c>
      <c r="B768" s="35" t="e">
        <f t="shared" si="190"/>
        <v>#REF!</v>
      </c>
      <c r="C768" s="40" t="s">
        <v>227</v>
      </c>
      <c r="D768" s="35">
        <v>21</v>
      </c>
      <c r="E768" s="35"/>
      <c r="F768" s="36">
        <f>138125/1000000</f>
        <v>0.138125</v>
      </c>
      <c r="G768" s="36">
        <f t="shared" si="189"/>
        <v>2.7210625000000002E-2</v>
      </c>
      <c r="H768" s="36">
        <f>57406/1000000</f>
        <v>5.7405999999999999E-2</v>
      </c>
      <c r="I768" s="37">
        <f t="shared" si="187"/>
        <v>8.6108999999999995E-3</v>
      </c>
      <c r="J768" s="32">
        <f t="shared" si="175"/>
        <v>0.12772834999999999</v>
      </c>
      <c r="K768" s="33">
        <f t="shared" si="178"/>
        <v>1.9159252499999998E-2</v>
      </c>
      <c r="L768" s="33"/>
      <c r="O768" s="2">
        <f t="shared" si="179"/>
        <v>2.3919166666666668E-2</v>
      </c>
      <c r="P768" s="2">
        <f t="shared" si="180"/>
        <v>17.221800000000002</v>
      </c>
      <c r="Q768" s="7">
        <f t="shared" si="181"/>
        <v>77.997282608695656</v>
      </c>
      <c r="R768" s="2">
        <v>1.2</v>
      </c>
      <c r="S768" s="2">
        <f t="shared" si="176"/>
        <v>4.45</v>
      </c>
      <c r="T768" s="2"/>
      <c r="U768" s="2"/>
      <c r="Y768" s="8">
        <f t="shared" si="177"/>
        <v>2.776703260869565</v>
      </c>
    </row>
    <row r="769" spans="1:25" x14ac:dyDescent="0.25">
      <c r="A769" s="34">
        <f t="shared" si="190"/>
        <v>761</v>
      </c>
      <c r="B769" s="35" t="e">
        <f t="shared" si="190"/>
        <v>#REF!</v>
      </c>
      <c r="C769" s="40" t="s">
        <v>227</v>
      </c>
      <c r="D769" s="35">
        <v>29</v>
      </c>
      <c r="E769" s="35">
        <v>1</v>
      </c>
      <c r="F769" s="36">
        <f>272813/1000000</f>
        <v>0.27281300000000003</v>
      </c>
      <c r="G769" s="36">
        <f>F769*0.197</f>
        <v>5.3744161000000006E-2</v>
      </c>
      <c r="H769" s="36">
        <f>95680/1000000</f>
        <v>9.5680000000000001E-2</v>
      </c>
      <c r="I769" s="37">
        <f>H769*0.15</f>
        <v>1.4352E-2</v>
      </c>
      <c r="J769" s="32">
        <f t="shared" si="175"/>
        <v>0.21288800000000002</v>
      </c>
      <c r="K769" s="33">
        <f t="shared" si="178"/>
        <v>3.1933200000000002E-2</v>
      </c>
      <c r="L769" s="33"/>
      <c r="O769" s="2">
        <f t="shared" si="179"/>
        <v>3.9866666666666668E-2</v>
      </c>
      <c r="P769" s="2">
        <f t="shared" si="180"/>
        <v>28.704000000000004</v>
      </c>
      <c r="Q769" s="7">
        <f t="shared" si="181"/>
        <v>130.00000000000003</v>
      </c>
      <c r="R769" s="2">
        <v>1.2</v>
      </c>
      <c r="S769" s="2">
        <f t="shared" si="176"/>
        <v>4.45</v>
      </c>
      <c r="T769" s="2"/>
      <c r="U769" s="2"/>
      <c r="Y769" s="8">
        <f t="shared" si="177"/>
        <v>4.6280000000000001</v>
      </c>
    </row>
    <row r="770" spans="1:25" x14ac:dyDescent="0.25">
      <c r="A770" s="34">
        <f t="shared" si="190"/>
        <v>762</v>
      </c>
      <c r="B770" s="35" t="e">
        <f t="shared" si="190"/>
        <v>#REF!</v>
      </c>
      <c r="C770" s="40" t="s">
        <v>227</v>
      </c>
      <c r="D770" s="35">
        <v>29</v>
      </c>
      <c r="E770" s="35">
        <v>2</v>
      </c>
      <c r="F770" s="36">
        <f>272813/1000000</f>
        <v>0.27281300000000003</v>
      </c>
      <c r="G770" s="36">
        <f>F770*0.197</f>
        <v>5.3744161000000006E-2</v>
      </c>
      <c r="H770" s="36">
        <f>95680/1000000</f>
        <v>9.5680000000000001E-2</v>
      </c>
      <c r="I770" s="37">
        <f>H770*0.15</f>
        <v>1.4352E-2</v>
      </c>
      <c r="J770" s="32">
        <f t="shared" si="175"/>
        <v>0.21288800000000002</v>
      </c>
      <c r="K770" s="33">
        <f t="shared" si="178"/>
        <v>3.1933200000000002E-2</v>
      </c>
      <c r="L770" s="33"/>
      <c r="O770" s="2">
        <f t="shared" si="179"/>
        <v>3.9866666666666668E-2</v>
      </c>
      <c r="P770" s="2">
        <f t="shared" si="180"/>
        <v>28.704000000000004</v>
      </c>
      <c r="Q770" s="7">
        <f t="shared" si="181"/>
        <v>130.00000000000003</v>
      </c>
      <c r="R770" s="2">
        <v>1.2</v>
      </c>
      <c r="S770" s="2">
        <f t="shared" si="176"/>
        <v>4.45</v>
      </c>
      <c r="T770" s="2"/>
      <c r="U770" s="2"/>
      <c r="Y770" s="8">
        <f t="shared" si="177"/>
        <v>4.6280000000000001</v>
      </c>
    </row>
    <row r="771" spans="1:25" x14ac:dyDescent="0.25">
      <c r="A771" s="34">
        <f t="shared" si="190"/>
        <v>763</v>
      </c>
      <c r="B771" s="35" t="e">
        <f t="shared" si="190"/>
        <v>#REF!</v>
      </c>
      <c r="C771" s="40" t="s">
        <v>227</v>
      </c>
      <c r="D771" s="35">
        <v>37</v>
      </c>
      <c r="E771" s="35"/>
      <c r="F771" s="36">
        <f>45977/1000000</f>
        <v>4.5976999999999997E-2</v>
      </c>
      <c r="G771" s="36">
        <f>F771*0.197</f>
        <v>9.0574690000000003E-3</v>
      </c>
      <c r="H771" s="36">
        <v>1.49E-2</v>
      </c>
      <c r="I771" s="37">
        <v>3.3999999999999998E-3</v>
      </c>
      <c r="J771" s="32">
        <f t="shared" si="175"/>
        <v>3.3152500000000001E-2</v>
      </c>
      <c r="K771" s="33">
        <f t="shared" si="178"/>
        <v>4.9728749999999999E-3</v>
      </c>
      <c r="L771" s="33"/>
      <c r="O771" s="2">
        <f t="shared" si="179"/>
        <v>6.2083333333333339E-3</v>
      </c>
      <c r="P771" s="2">
        <f t="shared" si="180"/>
        <v>4.4700000000000006</v>
      </c>
      <c r="Q771" s="7">
        <f t="shared" si="181"/>
        <v>20.244565217391308</v>
      </c>
      <c r="R771" s="2">
        <v>1.2</v>
      </c>
      <c r="S771" s="2">
        <f t="shared" si="176"/>
        <v>4.45</v>
      </c>
      <c r="T771" s="2"/>
      <c r="U771" s="2"/>
      <c r="Y771" s="8">
        <f t="shared" si="177"/>
        <v>0.72070652173913052</v>
      </c>
    </row>
    <row r="772" spans="1:25" x14ac:dyDescent="0.25">
      <c r="A772" s="34">
        <f t="shared" si="190"/>
        <v>764</v>
      </c>
      <c r="B772" s="35" t="e">
        <f t="shared" si="190"/>
        <v>#REF!</v>
      </c>
      <c r="C772" s="40" t="s">
        <v>227</v>
      </c>
      <c r="D772" s="35">
        <v>35</v>
      </c>
      <c r="E772" s="35"/>
      <c r="F772" s="36">
        <v>6.8400000000000002E-2</v>
      </c>
      <c r="G772" s="36">
        <v>1.41E-2</v>
      </c>
      <c r="H772" s="36">
        <v>1.8700000000000001E-2</v>
      </c>
      <c r="I772" s="37">
        <v>3.5999999999999999E-3</v>
      </c>
      <c r="J772" s="32">
        <f t="shared" si="175"/>
        <v>4.1607500000000006E-2</v>
      </c>
      <c r="K772" s="33">
        <f t="shared" si="178"/>
        <v>6.241125000000001E-3</v>
      </c>
      <c r="L772" s="33"/>
      <c r="O772" s="2">
        <f t="shared" si="179"/>
        <v>7.7916666666666672E-3</v>
      </c>
      <c r="P772" s="2">
        <f t="shared" si="180"/>
        <v>5.61</v>
      </c>
      <c r="Q772" s="7">
        <f t="shared" si="181"/>
        <v>25.407608695652176</v>
      </c>
      <c r="R772" s="2">
        <v>1.2</v>
      </c>
      <c r="S772" s="2">
        <f t="shared" si="176"/>
        <v>4.45</v>
      </c>
      <c r="T772" s="2"/>
      <c r="U772" s="2"/>
      <c r="Y772" s="8">
        <f t="shared" si="177"/>
        <v>0.90451086956521753</v>
      </c>
    </row>
    <row r="773" spans="1:25" x14ac:dyDescent="0.25">
      <c r="A773" s="34">
        <f t="shared" si="190"/>
        <v>765</v>
      </c>
      <c r="B773" s="35" t="e">
        <f t="shared" si="190"/>
        <v>#REF!</v>
      </c>
      <c r="C773" s="40" t="s">
        <v>227</v>
      </c>
      <c r="D773" s="35">
        <v>39</v>
      </c>
      <c r="E773" s="35"/>
      <c r="F773" s="36">
        <f>60831/1000000</f>
        <v>6.0831000000000003E-2</v>
      </c>
      <c r="G773" s="36">
        <f>F773*0.197</f>
        <v>1.1983707000000001E-2</v>
      </c>
      <c r="H773" s="36">
        <f>14719/1000000</f>
        <v>1.4718999999999999E-2</v>
      </c>
      <c r="I773" s="37">
        <f>H773*0.15</f>
        <v>2.2078499999999999E-3</v>
      </c>
      <c r="J773" s="32">
        <f t="shared" si="175"/>
        <v>3.2749775000000002E-2</v>
      </c>
      <c r="K773" s="33">
        <f t="shared" si="178"/>
        <v>4.9124662499999997E-3</v>
      </c>
      <c r="L773" s="33"/>
      <c r="O773" s="2">
        <f t="shared" si="179"/>
        <v>6.1329166666666667E-3</v>
      </c>
      <c r="P773" s="2">
        <f t="shared" si="180"/>
        <v>4.4156999999999993</v>
      </c>
      <c r="Q773" s="7">
        <f t="shared" si="181"/>
        <v>19.998641304347824</v>
      </c>
      <c r="R773" s="2">
        <v>1.2</v>
      </c>
      <c r="S773" s="2">
        <f t="shared" si="176"/>
        <v>4.45</v>
      </c>
      <c r="T773" s="2"/>
      <c r="U773" s="2"/>
      <c r="Y773" s="8">
        <f t="shared" si="177"/>
        <v>0.71195163043478271</v>
      </c>
    </row>
    <row r="774" spans="1:25" x14ac:dyDescent="0.25">
      <c r="A774" s="34">
        <f t="shared" si="190"/>
        <v>766</v>
      </c>
      <c r="B774" s="35" t="e">
        <f t="shared" si="190"/>
        <v>#REF!</v>
      </c>
      <c r="C774" s="40" t="s">
        <v>227</v>
      </c>
      <c r="D774" s="35">
        <v>43</v>
      </c>
      <c r="E774" s="35"/>
      <c r="F774" s="36">
        <f>103110/1000000</f>
        <v>0.10310999999999999</v>
      </c>
      <c r="G774" s="36">
        <f>F774*0.197</f>
        <v>2.0312669999999998E-2</v>
      </c>
      <c r="H774" s="36">
        <f>24288/1000000</f>
        <v>2.4288000000000001E-2</v>
      </c>
      <c r="I774" s="37">
        <f>H774*0.15</f>
        <v>3.6432000000000001E-3</v>
      </c>
      <c r="J774" s="32">
        <f t="shared" si="175"/>
        <v>5.40408E-2</v>
      </c>
      <c r="K774" s="33">
        <f t="shared" si="178"/>
        <v>8.1061199999999996E-3</v>
      </c>
      <c r="L774" s="33"/>
      <c r="O774" s="2">
        <f t="shared" si="179"/>
        <v>1.0120000000000001E-2</v>
      </c>
      <c r="P774" s="2">
        <f t="shared" si="180"/>
        <v>7.2864000000000004</v>
      </c>
      <c r="Q774" s="7">
        <f t="shared" si="181"/>
        <v>33</v>
      </c>
      <c r="R774" s="2">
        <v>1.2</v>
      </c>
      <c r="S774" s="2">
        <f t="shared" si="176"/>
        <v>4.45</v>
      </c>
      <c r="T774" s="2"/>
      <c r="U774" s="2"/>
      <c r="Y774" s="8">
        <f t="shared" si="177"/>
        <v>1.1747999999999998</v>
      </c>
    </row>
    <row r="775" spans="1:25" x14ac:dyDescent="0.25">
      <c r="A775" s="34">
        <f t="shared" si="190"/>
        <v>767</v>
      </c>
      <c r="B775" s="35" t="e">
        <f t="shared" si="190"/>
        <v>#REF!</v>
      </c>
      <c r="C775" s="40" t="s">
        <v>227</v>
      </c>
      <c r="D775" s="35">
        <v>45</v>
      </c>
      <c r="E775" s="35"/>
      <c r="F775" s="36">
        <f>103989/1000000</f>
        <v>0.103989</v>
      </c>
      <c r="G775" s="36">
        <f>F775*0.197</f>
        <v>2.0485833000000002E-2</v>
      </c>
      <c r="H775" s="36">
        <f>43423/1000000</f>
        <v>4.3423000000000003E-2</v>
      </c>
      <c r="I775" s="37">
        <f>H775*0.15</f>
        <v>6.5134500000000005E-3</v>
      </c>
      <c r="J775" s="32">
        <f t="shared" si="175"/>
        <v>9.6616175000000026E-2</v>
      </c>
      <c r="K775" s="33">
        <f t="shared" si="178"/>
        <v>1.4492426250000003E-2</v>
      </c>
      <c r="L775" s="33"/>
      <c r="O775" s="2">
        <f t="shared" si="179"/>
        <v>1.809291666666667E-2</v>
      </c>
      <c r="P775" s="2">
        <f t="shared" si="180"/>
        <v>13.026900000000003</v>
      </c>
      <c r="Q775" s="7">
        <f t="shared" si="181"/>
        <v>58.998641304347842</v>
      </c>
      <c r="R775" s="2">
        <v>1.2</v>
      </c>
      <c r="S775" s="2">
        <f t="shared" si="176"/>
        <v>4.45</v>
      </c>
      <c r="T775" s="2"/>
      <c r="U775" s="2"/>
      <c r="Y775" s="8">
        <f t="shared" si="177"/>
        <v>2.1003516304347833</v>
      </c>
    </row>
    <row r="776" spans="1:25" x14ac:dyDescent="0.25">
      <c r="A776" s="34">
        <f t="shared" si="190"/>
        <v>768</v>
      </c>
      <c r="B776" s="35" t="e">
        <f t="shared" si="190"/>
        <v>#REF!</v>
      </c>
      <c r="C776" s="40" t="s">
        <v>227</v>
      </c>
      <c r="D776" s="35" t="s">
        <v>228</v>
      </c>
      <c r="E776" s="35"/>
      <c r="F776" s="36">
        <f>101471/1000000</f>
        <v>0.10147100000000001</v>
      </c>
      <c r="G776" s="36">
        <f>F776*0.197</f>
        <v>1.9989787000000002E-2</v>
      </c>
      <c r="H776" s="36">
        <f>49313/1000000</f>
        <v>4.9313000000000003E-2</v>
      </c>
      <c r="I776" s="37">
        <f>H776*0.15</f>
        <v>7.3969500000000002E-3</v>
      </c>
      <c r="J776" s="32">
        <f t="shared" si="175"/>
        <v>0.10972142500000001</v>
      </c>
      <c r="K776" s="33">
        <f t="shared" si="178"/>
        <v>1.6458213750000002E-2</v>
      </c>
      <c r="L776" s="33"/>
      <c r="O776" s="2">
        <f t="shared" si="179"/>
        <v>2.0547083333333334E-2</v>
      </c>
      <c r="P776" s="2">
        <f t="shared" si="180"/>
        <v>14.793900000000001</v>
      </c>
      <c r="Q776" s="7">
        <f t="shared" si="181"/>
        <v>67.001358695652172</v>
      </c>
      <c r="R776" s="2">
        <v>1.2</v>
      </c>
      <c r="S776" s="2">
        <f t="shared" si="176"/>
        <v>4.45</v>
      </c>
      <c r="T776" s="2"/>
      <c r="U776" s="2"/>
      <c r="Y776" s="8">
        <f t="shared" si="177"/>
        <v>2.3852483695652178</v>
      </c>
    </row>
    <row r="777" spans="1:25" x14ac:dyDescent="0.25">
      <c r="A777" s="34">
        <f t="shared" si="190"/>
        <v>769</v>
      </c>
      <c r="B777" s="35" t="e">
        <f t="shared" si="190"/>
        <v>#REF!</v>
      </c>
      <c r="C777" s="40" t="s">
        <v>227</v>
      </c>
      <c r="D777" s="35">
        <v>49</v>
      </c>
      <c r="E777" s="35"/>
      <c r="F777" s="36">
        <v>0.12720000000000001</v>
      </c>
      <c r="G777" s="36">
        <v>2.5100000000000001E-2</v>
      </c>
      <c r="H777" s="36">
        <v>3.32E-2</v>
      </c>
      <c r="I777" s="37">
        <v>5.0000000000000001E-3</v>
      </c>
      <c r="J777" s="32">
        <f t="shared" ref="J777:J840" si="191">O777*R777*S777</f>
        <v>7.3870000000000005E-2</v>
      </c>
      <c r="K777" s="33">
        <f t="shared" si="178"/>
        <v>1.10805E-2</v>
      </c>
      <c r="L777" s="33"/>
      <c r="O777" s="2">
        <f t="shared" si="179"/>
        <v>1.3833333333333335E-2</v>
      </c>
      <c r="P777" s="2">
        <f t="shared" si="180"/>
        <v>9.9600000000000009</v>
      </c>
      <c r="Q777" s="7">
        <f t="shared" si="181"/>
        <v>45.108695652173921</v>
      </c>
      <c r="R777" s="2">
        <v>1.2</v>
      </c>
      <c r="S777" s="2">
        <f t="shared" ref="S777:S840" si="192">IF(Q777&lt;=$AE$6,$AF$6,IF(Q777&lt;=$AE$7,$AF$7,IF(Q777&lt;=$AE$8,$AF$8,IF(Q777&lt;=$AE$9,$AF$9,IF(Q777&lt;=$AE$10,$AF$10,0)))))</f>
        <v>4.45</v>
      </c>
      <c r="T777" s="2"/>
      <c r="U777" s="2"/>
      <c r="Y777" s="8">
        <f t="shared" ref="Y777:Y840" si="193">J777/46*1000</f>
        <v>1.6058695652173913</v>
      </c>
    </row>
    <row r="778" spans="1:25" x14ac:dyDescent="0.25">
      <c r="A778" s="34">
        <f t="shared" si="190"/>
        <v>770</v>
      </c>
      <c r="B778" s="35" t="e">
        <f t="shared" si="190"/>
        <v>#REF!</v>
      </c>
      <c r="C778" s="40" t="s">
        <v>227</v>
      </c>
      <c r="D778" s="35">
        <v>54</v>
      </c>
      <c r="E778" s="35"/>
      <c r="F778" s="36">
        <f>89569/1000000</f>
        <v>8.9568999999999996E-2</v>
      </c>
      <c r="G778" s="36">
        <f t="shared" ref="G778:G797" si="194">F778*0.197</f>
        <v>1.7645093000000001E-2</v>
      </c>
      <c r="H778" s="36">
        <f>24288/1000000</f>
        <v>2.4288000000000001E-2</v>
      </c>
      <c r="I778" s="37">
        <f t="shared" ref="I778:I797" si="195">H778*0.15</f>
        <v>3.6432000000000001E-3</v>
      </c>
      <c r="J778" s="32">
        <f t="shared" si="191"/>
        <v>5.40408E-2</v>
      </c>
      <c r="K778" s="33">
        <f t="shared" ref="K778:K841" si="196">J778*0.15</f>
        <v>8.1061199999999996E-3</v>
      </c>
      <c r="L778" s="33"/>
      <c r="O778" s="2">
        <f t="shared" si="179"/>
        <v>1.0120000000000001E-2</v>
      </c>
      <c r="P778" s="2">
        <f t="shared" si="180"/>
        <v>7.2864000000000004</v>
      </c>
      <c r="Q778" s="7">
        <f t="shared" si="181"/>
        <v>33</v>
      </c>
      <c r="R778" s="2">
        <v>1.2</v>
      </c>
      <c r="S778" s="2">
        <f t="shared" si="192"/>
        <v>4.45</v>
      </c>
      <c r="T778" s="2"/>
      <c r="U778" s="2"/>
      <c r="Y778" s="8">
        <f t="shared" si="193"/>
        <v>1.1747999999999998</v>
      </c>
    </row>
    <row r="779" spans="1:25" x14ac:dyDescent="0.25">
      <c r="A779" s="34">
        <f t="shared" si="190"/>
        <v>771</v>
      </c>
      <c r="B779" s="35" t="e">
        <f t="shared" si="190"/>
        <v>#REF!</v>
      </c>
      <c r="C779" s="40" t="s">
        <v>227</v>
      </c>
      <c r="D779" s="35">
        <v>55</v>
      </c>
      <c r="E779" s="35"/>
      <c r="F779" s="36">
        <f>62727/1000000</f>
        <v>6.2727000000000005E-2</v>
      </c>
      <c r="G779" s="36">
        <f t="shared" si="194"/>
        <v>1.2357219000000001E-2</v>
      </c>
      <c r="H779" s="36">
        <f>16927/1000000</f>
        <v>1.6927000000000001E-2</v>
      </c>
      <c r="I779" s="37">
        <f t="shared" si="195"/>
        <v>2.5390500000000002E-3</v>
      </c>
      <c r="J779" s="32">
        <f t="shared" si="191"/>
        <v>3.7662575000000004E-2</v>
      </c>
      <c r="K779" s="33">
        <f t="shared" si="196"/>
        <v>5.64938625E-3</v>
      </c>
      <c r="L779" s="33"/>
      <c r="O779" s="2">
        <f t="shared" ref="O779:O842" si="197">H779/2.4</f>
        <v>7.0529166666666674E-3</v>
      </c>
      <c r="P779" s="2">
        <f t="shared" ref="P779:P842" si="198">O779*24*30</f>
        <v>5.0781000000000009</v>
      </c>
      <c r="Q779" s="7">
        <f t="shared" ref="Q779:Q842" si="199">P779/0.2208</f>
        <v>22.998641304347831</v>
      </c>
      <c r="R779" s="2">
        <v>1.2</v>
      </c>
      <c r="S779" s="2">
        <f t="shared" si="192"/>
        <v>4.45</v>
      </c>
      <c r="T779" s="2"/>
      <c r="U779" s="2"/>
      <c r="Y779" s="8">
        <f t="shared" si="193"/>
        <v>0.81875163043478261</v>
      </c>
    </row>
    <row r="780" spans="1:25" x14ac:dyDescent="0.25">
      <c r="A780" s="34">
        <f t="shared" ref="A780:B795" si="200">A779+1</f>
        <v>772</v>
      </c>
      <c r="B780" s="35" t="e">
        <f t="shared" si="200"/>
        <v>#REF!</v>
      </c>
      <c r="C780" s="40" t="s">
        <v>227</v>
      </c>
      <c r="D780" s="35">
        <v>57</v>
      </c>
      <c r="E780" s="35"/>
      <c r="F780" s="36">
        <f>101257/1000000</f>
        <v>0.101257</v>
      </c>
      <c r="G780" s="36">
        <f t="shared" si="194"/>
        <v>1.9947629000000001E-2</v>
      </c>
      <c r="H780" s="36">
        <f>26496/1000000</f>
        <v>2.6495999999999999E-2</v>
      </c>
      <c r="I780" s="37">
        <f t="shared" si="195"/>
        <v>3.9743999999999995E-3</v>
      </c>
      <c r="J780" s="32">
        <f t="shared" si="191"/>
        <v>5.8953600000000002E-2</v>
      </c>
      <c r="K780" s="33">
        <f t="shared" si="196"/>
        <v>8.8430399999999999E-3</v>
      </c>
      <c r="L780" s="33"/>
      <c r="O780" s="2">
        <f t="shared" si="197"/>
        <v>1.1039999999999999E-2</v>
      </c>
      <c r="P780" s="2">
        <f t="shared" si="198"/>
        <v>7.9487999999999994</v>
      </c>
      <c r="Q780" s="7">
        <f t="shared" si="199"/>
        <v>36</v>
      </c>
      <c r="R780" s="2">
        <v>1.2</v>
      </c>
      <c r="S780" s="2">
        <f t="shared" si="192"/>
        <v>4.45</v>
      </c>
      <c r="T780" s="2"/>
      <c r="U780" s="2"/>
      <c r="Y780" s="8">
        <f t="shared" si="193"/>
        <v>1.2816000000000001</v>
      </c>
    </row>
    <row r="781" spans="1:25" x14ac:dyDescent="0.25">
      <c r="A781" s="34">
        <f t="shared" si="200"/>
        <v>773</v>
      </c>
      <c r="B781" s="35" t="e">
        <f t="shared" si="200"/>
        <v>#REF!</v>
      </c>
      <c r="C781" s="40" t="s">
        <v>227</v>
      </c>
      <c r="D781" s="35">
        <v>58</v>
      </c>
      <c r="E781" s="35"/>
      <c r="F781" s="36">
        <f>78010/1000000</f>
        <v>7.8009999999999996E-2</v>
      </c>
      <c r="G781" s="36">
        <f t="shared" si="194"/>
        <v>1.536797E-2</v>
      </c>
      <c r="H781" s="36">
        <f>21344/1000000</f>
        <v>2.1343999999999998E-2</v>
      </c>
      <c r="I781" s="37">
        <f t="shared" si="195"/>
        <v>3.2015999999999998E-3</v>
      </c>
      <c r="J781" s="32">
        <f t="shared" si="191"/>
        <v>4.7490399999999995E-2</v>
      </c>
      <c r="K781" s="33">
        <f t="shared" si="196"/>
        <v>7.1235599999999993E-3</v>
      </c>
      <c r="L781" s="33"/>
      <c r="O781" s="2">
        <f t="shared" si="197"/>
        <v>8.893333333333333E-3</v>
      </c>
      <c r="P781" s="2">
        <f t="shared" si="198"/>
        <v>6.4032</v>
      </c>
      <c r="Q781" s="7">
        <f t="shared" si="199"/>
        <v>29</v>
      </c>
      <c r="R781" s="2">
        <v>1.2</v>
      </c>
      <c r="S781" s="2">
        <f t="shared" si="192"/>
        <v>4.45</v>
      </c>
      <c r="T781" s="2"/>
      <c r="U781" s="2"/>
      <c r="Y781" s="8">
        <f t="shared" si="193"/>
        <v>1.0324</v>
      </c>
    </row>
    <row r="782" spans="1:25" x14ac:dyDescent="0.25">
      <c r="A782" s="34">
        <f t="shared" si="200"/>
        <v>774</v>
      </c>
      <c r="B782" s="35" t="e">
        <f t="shared" si="200"/>
        <v>#REF!</v>
      </c>
      <c r="C782" s="40" t="s">
        <v>227</v>
      </c>
      <c r="D782" s="35">
        <v>59</v>
      </c>
      <c r="E782" s="35"/>
      <c r="F782" s="36">
        <f>120587/1000000</f>
        <v>0.120587</v>
      </c>
      <c r="G782" s="36">
        <f t="shared" si="194"/>
        <v>2.3755639000000002E-2</v>
      </c>
      <c r="H782" s="36">
        <f>50784/1000000</f>
        <v>5.0784000000000003E-2</v>
      </c>
      <c r="I782" s="37">
        <f t="shared" si="195"/>
        <v>7.6176000000000004E-3</v>
      </c>
      <c r="J782" s="32">
        <f t="shared" si="191"/>
        <v>0.11299440000000001</v>
      </c>
      <c r="K782" s="33">
        <f t="shared" si="196"/>
        <v>1.6949160000000001E-2</v>
      </c>
      <c r="L782" s="33"/>
      <c r="O782" s="2">
        <f t="shared" si="197"/>
        <v>2.1160000000000002E-2</v>
      </c>
      <c r="P782" s="2">
        <f t="shared" si="198"/>
        <v>15.235200000000003</v>
      </c>
      <c r="Q782" s="7">
        <f t="shared" si="199"/>
        <v>69.000000000000014</v>
      </c>
      <c r="R782" s="2">
        <v>1.2</v>
      </c>
      <c r="S782" s="2">
        <f t="shared" si="192"/>
        <v>4.45</v>
      </c>
      <c r="T782" s="2"/>
      <c r="U782" s="2"/>
      <c r="Y782" s="8">
        <f t="shared" si="193"/>
        <v>2.4563999999999999</v>
      </c>
    </row>
    <row r="783" spans="1:25" x14ac:dyDescent="0.25">
      <c r="A783" s="34">
        <f t="shared" si="200"/>
        <v>775</v>
      </c>
      <c r="B783" s="35" t="e">
        <f t="shared" si="200"/>
        <v>#REF!</v>
      </c>
      <c r="C783" s="40" t="s">
        <v>227</v>
      </c>
      <c r="D783" s="35">
        <v>61</v>
      </c>
      <c r="E783" s="35"/>
      <c r="F783" s="36">
        <f>96936/1000000</f>
        <v>9.6935999999999994E-2</v>
      </c>
      <c r="G783" s="36">
        <f t="shared" si="194"/>
        <v>1.9096392E-2</v>
      </c>
      <c r="H783" s="36">
        <f>36800/1000000</f>
        <v>3.6799999999999999E-2</v>
      </c>
      <c r="I783" s="37">
        <f t="shared" si="195"/>
        <v>5.5199999999999997E-3</v>
      </c>
      <c r="J783" s="32">
        <f t="shared" si="191"/>
        <v>8.1880000000000008E-2</v>
      </c>
      <c r="K783" s="33">
        <f t="shared" si="196"/>
        <v>1.2282000000000001E-2</v>
      </c>
      <c r="L783" s="33"/>
      <c r="O783" s="2">
        <f t="shared" si="197"/>
        <v>1.5333333333333334E-2</v>
      </c>
      <c r="P783" s="2">
        <f t="shared" si="198"/>
        <v>11.04</v>
      </c>
      <c r="Q783" s="7">
        <f t="shared" si="199"/>
        <v>50</v>
      </c>
      <c r="R783" s="2">
        <v>1.2</v>
      </c>
      <c r="S783" s="2">
        <f t="shared" si="192"/>
        <v>4.45</v>
      </c>
      <c r="T783" s="2"/>
      <c r="U783" s="2"/>
      <c r="Y783" s="8">
        <f t="shared" si="193"/>
        <v>1.78</v>
      </c>
    </row>
    <row r="784" spans="1:25" x14ac:dyDescent="0.25">
      <c r="A784" s="34">
        <f t="shared" si="200"/>
        <v>776</v>
      </c>
      <c r="B784" s="35" t="e">
        <f t="shared" si="200"/>
        <v>#REF!</v>
      </c>
      <c r="C784" s="40" t="s">
        <v>227</v>
      </c>
      <c r="D784" s="35">
        <v>62</v>
      </c>
      <c r="E784" s="35"/>
      <c r="F784" s="36">
        <f>61258/1000000</f>
        <v>6.1258E-2</v>
      </c>
      <c r="G784" s="36">
        <f t="shared" si="194"/>
        <v>1.2067826E-2</v>
      </c>
      <c r="H784" s="36">
        <f>16927/1000000</f>
        <v>1.6927000000000001E-2</v>
      </c>
      <c r="I784" s="37">
        <f t="shared" si="195"/>
        <v>2.5390500000000002E-3</v>
      </c>
      <c r="J784" s="32">
        <f t="shared" si="191"/>
        <v>3.7662575000000004E-2</v>
      </c>
      <c r="K784" s="33">
        <f t="shared" si="196"/>
        <v>5.64938625E-3</v>
      </c>
      <c r="L784" s="33"/>
      <c r="O784" s="2">
        <f t="shared" si="197"/>
        <v>7.0529166666666674E-3</v>
      </c>
      <c r="P784" s="2">
        <f t="shared" si="198"/>
        <v>5.0781000000000009</v>
      </c>
      <c r="Q784" s="7">
        <f t="shared" si="199"/>
        <v>22.998641304347831</v>
      </c>
      <c r="R784" s="2">
        <v>1.2</v>
      </c>
      <c r="S784" s="2">
        <f t="shared" si="192"/>
        <v>4.45</v>
      </c>
      <c r="T784" s="2"/>
      <c r="U784" s="2"/>
      <c r="Y784" s="8">
        <f t="shared" si="193"/>
        <v>0.81875163043478261</v>
      </c>
    </row>
    <row r="785" spans="1:25" x14ac:dyDescent="0.25">
      <c r="A785" s="34">
        <f t="shared" si="200"/>
        <v>777</v>
      </c>
      <c r="B785" s="35" t="e">
        <f t="shared" si="200"/>
        <v>#REF!</v>
      </c>
      <c r="C785" s="40" t="s">
        <v>227</v>
      </c>
      <c r="D785" s="35">
        <v>63</v>
      </c>
      <c r="E785" s="35"/>
      <c r="F785" s="36">
        <f>120456/1000000</f>
        <v>0.12045599999999999</v>
      </c>
      <c r="G785" s="36">
        <f t="shared" si="194"/>
        <v>2.3729831999999999E-2</v>
      </c>
      <c r="H785" s="36">
        <f>55200/1000000</f>
        <v>5.5199999999999999E-2</v>
      </c>
      <c r="I785" s="37">
        <f t="shared" si="195"/>
        <v>8.2799999999999992E-3</v>
      </c>
      <c r="J785" s="32">
        <f t="shared" si="191"/>
        <v>0.12282</v>
      </c>
      <c r="K785" s="33">
        <f t="shared" si="196"/>
        <v>1.8422999999999998E-2</v>
      </c>
      <c r="L785" s="33"/>
      <c r="O785" s="2">
        <f t="shared" si="197"/>
        <v>2.3E-2</v>
      </c>
      <c r="P785" s="2">
        <f t="shared" si="198"/>
        <v>16.560000000000002</v>
      </c>
      <c r="Q785" s="7">
        <f t="shared" si="199"/>
        <v>75.000000000000014</v>
      </c>
      <c r="R785" s="2">
        <v>1.2</v>
      </c>
      <c r="S785" s="2">
        <f t="shared" si="192"/>
        <v>4.45</v>
      </c>
      <c r="T785" s="2"/>
      <c r="U785" s="2"/>
      <c r="Y785" s="8">
        <f t="shared" si="193"/>
        <v>2.67</v>
      </c>
    </row>
    <row r="786" spans="1:25" x14ac:dyDescent="0.25">
      <c r="A786" s="34">
        <f t="shared" si="200"/>
        <v>778</v>
      </c>
      <c r="B786" s="35" t="e">
        <f t="shared" si="200"/>
        <v>#REF!</v>
      </c>
      <c r="C786" s="40" t="s">
        <v>227</v>
      </c>
      <c r="D786" s="35">
        <v>65</v>
      </c>
      <c r="E786" s="35"/>
      <c r="F786" s="36">
        <f>119697/1000000</f>
        <v>0.119697</v>
      </c>
      <c r="G786" s="36">
        <f t="shared" si="194"/>
        <v>2.3580309000000001E-2</v>
      </c>
      <c r="H786" s="36">
        <f>52258/1000000</f>
        <v>5.2257999999999999E-2</v>
      </c>
      <c r="I786" s="37">
        <f t="shared" si="195"/>
        <v>7.8386999999999988E-3</v>
      </c>
      <c r="J786" s="32">
        <f t="shared" si="191"/>
        <v>0.11627405</v>
      </c>
      <c r="K786" s="33">
        <f t="shared" si="196"/>
        <v>1.7441107500000001E-2</v>
      </c>
      <c r="L786" s="24" t="s">
        <v>16</v>
      </c>
      <c r="O786" s="2">
        <f t="shared" si="197"/>
        <v>2.1774166666666667E-2</v>
      </c>
      <c r="P786" s="2">
        <f t="shared" si="198"/>
        <v>15.677400000000002</v>
      </c>
      <c r="Q786" s="7">
        <f t="shared" si="199"/>
        <v>71.002717391304358</v>
      </c>
      <c r="R786" s="2">
        <v>1.2</v>
      </c>
      <c r="S786" s="2">
        <f t="shared" si="192"/>
        <v>4.45</v>
      </c>
      <c r="T786" s="2"/>
      <c r="U786" s="2"/>
      <c r="Y786" s="8">
        <f t="shared" si="193"/>
        <v>2.5276967391304348</v>
      </c>
    </row>
    <row r="787" spans="1:25" x14ac:dyDescent="0.25">
      <c r="A787" s="34">
        <f t="shared" si="200"/>
        <v>779</v>
      </c>
      <c r="B787" s="35" t="e">
        <f t="shared" si="200"/>
        <v>#REF!</v>
      </c>
      <c r="C787" s="40" t="s">
        <v>227</v>
      </c>
      <c r="D787" s="35">
        <v>67</v>
      </c>
      <c r="E787" s="35"/>
      <c r="F787" s="36">
        <f>99545/1000000</f>
        <v>9.9544999999999995E-2</v>
      </c>
      <c r="G787" s="36">
        <f t="shared" si="194"/>
        <v>1.9610365000000001E-2</v>
      </c>
      <c r="H787" s="36">
        <f>39744/1000000</f>
        <v>3.9744000000000002E-2</v>
      </c>
      <c r="I787" s="37">
        <f t="shared" si="195"/>
        <v>5.9616000000000001E-3</v>
      </c>
      <c r="J787" s="32">
        <f t="shared" si="191"/>
        <v>8.8430400000000006E-2</v>
      </c>
      <c r="K787" s="33">
        <f t="shared" si="196"/>
        <v>1.326456E-2</v>
      </c>
      <c r="L787" s="33"/>
      <c r="O787" s="2">
        <f t="shared" si="197"/>
        <v>1.6560000000000002E-2</v>
      </c>
      <c r="P787" s="2">
        <f t="shared" si="198"/>
        <v>11.923200000000001</v>
      </c>
      <c r="Q787" s="7">
        <f t="shared" si="199"/>
        <v>54.000000000000007</v>
      </c>
      <c r="R787" s="2">
        <v>1.2</v>
      </c>
      <c r="S787" s="2">
        <f t="shared" si="192"/>
        <v>4.45</v>
      </c>
      <c r="T787" s="2"/>
      <c r="U787" s="2"/>
      <c r="Y787" s="8">
        <f t="shared" si="193"/>
        <v>1.9224000000000001</v>
      </c>
    </row>
    <row r="788" spans="1:25" x14ac:dyDescent="0.25">
      <c r="A788" s="34">
        <f t="shared" si="200"/>
        <v>780</v>
      </c>
      <c r="B788" s="35" t="e">
        <f t="shared" si="200"/>
        <v>#REF!</v>
      </c>
      <c r="C788" s="40" t="s">
        <v>227</v>
      </c>
      <c r="D788" s="35">
        <v>69</v>
      </c>
      <c r="E788" s="35"/>
      <c r="F788" s="36">
        <f>123858/1000000</f>
        <v>0.123858</v>
      </c>
      <c r="G788" s="36">
        <f t="shared" si="194"/>
        <v>2.4400026000000002E-2</v>
      </c>
      <c r="H788" s="36">
        <f>50784/1000000</f>
        <v>5.0784000000000003E-2</v>
      </c>
      <c r="I788" s="37">
        <f t="shared" si="195"/>
        <v>7.6176000000000004E-3</v>
      </c>
      <c r="J788" s="32">
        <f t="shared" si="191"/>
        <v>0.11299440000000001</v>
      </c>
      <c r="K788" s="33">
        <f t="shared" si="196"/>
        <v>1.6949160000000001E-2</v>
      </c>
      <c r="L788" s="33"/>
      <c r="O788" s="2">
        <f t="shared" si="197"/>
        <v>2.1160000000000002E-2</v>
      </c>
      <c r="P788" s="2">
        <f t="shared" si="198"/>
        <v>15.235200000000003</v>
      </c>
      <c r="Q788" s="7">
        <f t="shared" si="199"/>
        <v>69.000000000000014</v>
      </c>
      <c r="R788" s="2">
        <v>1.2</v>
      </c>
      <c r="S788" s="2">
        <f t="shared" si="192"/>
        <v>4.45</v>
      </c>
      <c r="T788" s="2"/>
      <c r="U788" s="2"/>
      <c r="Y788" s="8">
        <f t="shared" si="193"/>
        <v>2.4563999999999999</v>
      </c>
    </row>
    <row r="789" spans="1:25" x14ac:dyDescent="0.25">
      <c r="A789" s="34">
        <f t="shared" si="200"/>
        <v>781</v>
      </c>
      <c r="B789" s="35" t="e">
        <f t="shared" si="200"/>
        <v>#REF!</v>
      </c>
      <c r="C789" s="40" t="s">
        <v>227</v>
      </c>
      <c r="D789" s="35">
        <v>70</v>
      </c>
      <c r="E789" s="35"/>
      <c r="F789" s="36">
        <f>109225/1000000</f>
        <v>0.109225</v>
      </c>
      <c r="G789" s="36">
        <f t="shared" si="194"/>
        <v>2.1517325E-2</v>
      </c>
      <c r="H789" s="36">
        <f>36800/1000000</f>
        <v>3.6799999999999999E-2</v>
      </c>
      <c r="I789" s="37">
        <f t="shared" si="195"/>
        <v>5.5199999999999997E-3</v>
      </c>
      <c r="J789" s="32">
        <f t="shared" si="191"/>
        <v>8.1880000000000008E-2</v>
      </c>
      <c r="K789" s="33">
        <f t="shared" si="196"/>
        <v>1.2282000000000001E-2</v>
      </c>
      <c r="L789" s="24" t="s">
        <v>16</v>
      </c>
      <c r="O789" s="2">
        <f t="shared" si="197"/>
        <v>1.5333333333333334E-2</v>
      </c>
      <c r="P789" s="2">
        <f t="shared" si="198"/>
        <v>11.04</v>
      </c>
      <c r="Q789" s="7">
        <f t="shared" si="199"/>
        <v>50</v>
      </c>
      <c r="R789" s="2">
        <v>1.2</v>
      </c>
      <c r="S789" s="2">
        <f t="shared" si="192"/>
        <v>4.45</v>
      </c>
      <c r="T789" s="2"/>
      <c r="U789" s="2"/>
      <c r="Y789" s="8">
        <f t="shared" si="193"/>
        <v>1.78</v>
      </c>
    </row>
    <row r="790" spans="1:25" x14ac:dyDescent="0.25">
      <c r="A790" s="34">
        <f t="shared" si="200"/>
        <v>782</v>
      </c>
      <c r="B790" s="35" t="e">
        <f t="shared" si="200"/>
        <v>#REF!</v>
      </c>
      <c r="C790" s="40" t="s">
        <v>227</v>
      </c>
      <c r="D790" s="35">
        <v>71</v>
      </c>
      <c r="E790" s="35"/>
      <c r="F790" s="36">
        <f>95518/1000000</f>
        <v>9.5518000000000006E-2</v>
      </c>
      <c r="G790" s="36">
        <f t="shared" si="194"/>
        <v>1.8817046E-2</v>
      </c>
      <c r="H790" s="36">
        <f>40480/1000000</f>
        <v>4.0480000000000002E-2</v>
      </c>
      <c r="I790" s="37">
        <f t="shared" si="195"/>
        <v>6.0720000000000001E-3</v>
      </c>
      <c r="J790" s="32">
        <f t="shared" si="191"/>
        <v>9.0068000000000009E-2</v>
      </c>
      <c r="K790" s="33">
        <f t="shared" si="196"/>
        <v>1.3510200000000002E-2</v>
      </c>
      <c r="L790" s="33"/>
      <c r="O790" s="2">
        <f t="shared" si="197"/>
        <v>1.6866666666666669E-2</v>
      </c>
      <c r="P790" s="2">
        <f t="shared" si="198"/>
        <v>12.144000000000002</v>
      </c>
      <c r="Q790" s="7">
        <f t="shared" si="199"/>
        <v>55.000000000000007</v>
      </c>
      <c r="R790" s="2">
        <v>1.2</v>
      </c>
      <c r="S790" s="2">
        <f t="shared" si="192"/>
        <v>4.45</v>
      </c>
      <c r="T790" s="2"/>
      <c r="U790" s="2"/>
      <c r="Y790" s="8">
        <f t="shared" si="193"/>
        <v>1.9580000000000002</v>
      </c>
    </row>
    <row r="791" spans="1:25" x14ac:dyDescent="0.25">
      <c r="A791" s="34">
        <f t="shared" si="200"/>
        <v>783</v>
      </c>
      <c r="B791" s="35" t="e">
        <f t="shared" si="200"/>
        <v>#REF!</v>
      </c>
      <c r="C791" s="40" t="s">
        <v>227</v>
      </c>
      <c r="D791" s="35">
        <v>73</v>
      </c>
      <c r="E791" s="35"/>
      <c r="F791" s="36">
        <f>93849/1000000</f>
        <v>9.3849000000000002E-2</v>
      </c>
      <c r="G791" s="36">
        <f t="shared" si="194"/>
        <v>1.8488253E-2</v>
      </c>
      <c r="H791" s="36">
        <f>38272/1000000</f>
        <v>3.8272E-2</v>
      </c>
      <c r="I791" s="37">
        <f t="shared" si="195"/>
        <v>5.7407999999999999E-3</v>
      </c>
      <c r="J791" s="32">
        <f t="shared" si="191"/>
        <v>8.51552E-2</v>
      </c>
      <c r="K791" s="33">
        <f t="shared" si="196"/>
        <v>1.277328E-2</v>
      </c>
      <c r="L791" s="33"/>
      <c r="O791" s="2">
        <f t="shared" si="197"/>
        <v>1.5946666666666668E-2</v>
      </c>
      <c r="P791" s="2">
        <f t="shared" si="198"/>
        <v>11.481600000000002</v>
      </c>
      <c r="Q791" s="7">
        <f t="shared" si="199"/>
        <v>52.000000000000007</v>
      </c>
      <c r="R791" s="2">
        <v>1.2</v>
      </c>
      <c r="S791" s="2">
        <f t="shared" si="192"/>
        <v>4.45</v>
      </c>
      <c r="T791" s="2"/>
      <c r="U791" s="2"/>
      <c r="Y791" s="8">
        <f t="shared" si="193"/>
        <v>1.8512000000000002</v>
      </c>
    </row>
    <row r="792" spans="1:25" x14ac:dyDescent="0.25">
      <c r="A792" s="34">
        <f t="shared" si="200"/>
        <v>784</v>
      </c>
      <c r="B792" s="35" t="e">
        <f t="shared" si="200"/>
        <v>#REF!</v>
      </c>
      <c r="C792" s="40" t="s">
        <v>227</v>
      </c>
      <c r="D792" s="35">
        <v>74</v>
      </c>
      <c r="E792" s="35"/>
      <c r="F792" s="36">
        <f>103176/1000000</f>
        <v>0.103176</v>
      </c>
      <c r="G792" s="36">
        <f t="shared" si="194"/>
        <v>2.0325672000000003E-2</v>
      </c>
      <c r="H792" s="36">
        <f>45632/1000000</f>
        <v>4.5631999999999999E-2</v>
      </c>
      <c r="I792" s="37">
        <f t="shared" si="195"/>
        <v>6.8447999999999998E-3</v>
      </c>
      <c r="J792" s="32">
        <f t="shared" si="191"/>
        <v>0.1015312</v>
      </c>
      <c r="K792" s="33">
        <f t="shared" si="196"/>
        <v>1.5229679999999999E-2</v>
      </c>
      <c r="L792" s="24" t="s">
        <v>16</v>
      </c>
      <c r="O792" s="2">
        <f t="shared" si="197"/>
        <v>1.9013333333333333E-2</v>
      </c>
      <c r="P792" s="2">
        <f t="shared" si="198"/>
        <v>13.6896</v>
      </c>
      <c r="Q792" s="7">
        <f t="shared" si="199"/>
        <v>62</v>
      </c>
      <c r="R792" s="2">
        <v>1.2</v>
      </c>
      <c r="S792" s="2">
        <f t="shared" si="192"/>
        <v>4.45</v>
      </c>
      <c r="T792" s="2"/>
      <c r="U792" s="2"/>
      <c r="Y792" s="8">
        <f t="shared" si="193"/>
        <v>2.2071999999999998</v>
      </c>
    </row>
    <row r="793" spans="1:25" x14ac:dyDescent="0.25">
      <c r="A793" s="34">
        <f t="shared" si="200"/>
        <v>785</v>
      </c>
      <c r="B793" s="35" t="e">
        <f t="shared" si="200"/>
        <v>#REF!</v>
      </c>
      <c r="C793" s="40" t="s">
        <v>227</v>
      </c>
      <c r="D793" s="35">
        <v>75</v>
      </c>
      <c r="E793" s="35"/>
      <c r="F793" s="36">
        <f>118228/1000000</f>
        <v>0.118228</v>
      </c>
      <c r="G793" s="36">
        <f t="shared" si="194"/>
        <v>2.3290916000000002E-2</v>
      </c>
      <c r="H793" s="36">
        <f>58142/1000000</f>
        <v>5.8141999999999999E-2</v>
      </c>
      <c r="I793" s="37">
        <f t="shared" si="195"/>
        <v>8.7212999999999995E-3</v>
      </c>
      <c r="J793" s="32">
        <f t="shared" si="191"/>
        <v>0.12936595000000001</v>
      </c>
      <c r="K793" s="33">
        <f t="shared" si="196"/>
        <v>1.94048925E-2</v>
      </c>
      <c r="L793" s="33"/>
      <c r="O793" s="2">
        <f t="shared" si="197"/>
        <v>2.4225833333333335E-2</v>
      </c>
      <c r="P793" s="2">
        <f t="shared" si="198"/>
        <v>17.442600000000002</v>
      </c>
      <c r="Q793" s="7">
        <f t="shared" si="199"/>
        <v>78.99728260869567</v>
      </c>
      <c r="R793" s="2">
        <v>1.2</v>
      </c>
      <c r="S793" s="2">
        <f t="shared" si="192"/>
        <v>4.45</v>
      </c>
      <c r="T793" s="2"/>
      <c r="U793" s="2"/>
      <c r="Y793" s="8">
        <f t="shared" si="193"/>
        <v>2.8123032608695655</v>
      </c>
    </row>
    <row r="794" spans="1:25" x14ac:dyDescent="0.25">
      <c r="A794" s="34">
        <f t="shared" si="200"/>
        <v>786</v>
      </c>
      <c r="B794" s="35" t="e">
        <f t="shared" si="200"/>
        <v>#REF!</v>
      </c>
      <c r="C794" s="40" t="s">
        <v>227</v>
      </c>
      <c r="D794" s="35">
        <v>76</v>
      </c>
      <c r="E794" s="35"/>
      <c r="F794" s="36">
        <f>91904/1000000</f>
        <v>9.1904E-2</v>
      </c>
      <c r="G794" s="36">
        <f t="shared" si="194"/>
        <v>1.8105088000000002E-2</v>
      </c>
      <c r="H794" s="36">
        <f>34594/1000000</f>
        <v>3.4594E-2</v>
      </c>
      <c r="I794" s="37">
        <f t="shared" si="195"/>
        <v>5.1890999999999994E-3</v>
      </c>
      <c r="J794" s="32">
        <f t="shared" si="191"/>
        <v>7.6971650000000003E-2</v>
      </c>
      <c r="K794" s="33">
        <f t="shared" si="196"/>
        <v>1.15457475E-2</v>
      </c>
      <c r="L794" s="24" t="s">
        <v>16</v>
      </c>
      <c r="O794" s="2">
        <f t="shared" si="197"/>
        <v>1.4414166666666667E-2</v>
      </c>
      <c r="P794" s="2">
        <f t="shared" si="198"/>
        <v>10.378200000000001</v>
      </c>
      <c r="Q794" s="7">
        <f t="shared" si="199"/>
        <v>47.002717391304358</v>
      </c>
      <c r="R794" s="2">
        <v>1.2</v>
      </c>
      <c r="S794" s="2">
        <f t="shared" si="192"/>
        <v>4.45</v>
      </c>
      <c r="T794" s="2"/>
      <c r="U794" s="2"/>
      <c r="Y794" s="8">
        <f t="shared" si="193"/>
        <v>1.673296739130435</v>
      </c>
    </row>
    <row r="795" spans="1:25" x14ac:dyDescent="0.25">
      <c r="A795" s="34">
        <f t="shared" si="200"/>
        <v>787</v>
      </c>
      <c r="B795" s="35" t="e">
        <f t="shared" si="200"/>
        <v>#REF!</v>
      </c>
      <c r="C795" s="40" t="s">
        <v>227</v>
      </c>
      <c r="D795" s="35">
        <v>80</v>
      </c>
      <c r="E795" s="35">
        <v>1</v>
      </c>
      <c r="F795" s="36">
        <f>75649/1000000</f>
        <v>7.5648999999999994E-2</v>
      </c>
      <c r="G795" s="36">
        <f t="shared" si="194"/>
        <v>1.4902852999999999E-2</v>
      </c>
      <c r="H795" s="36">
        <f>30176/1000000</f>
        <v>3.0176000000000001E-2</v>
      </c>
      <c r="I795" s="37">
        <f t="shared" si="195"/>
        <v>4.5263999999999999E-3</v>
      </c>
      <c r="J795" s="32">
        <f t="shared" si="191"/>
        <v>6.714160000000001E-2</v>
      </c>
      <c r="K795" s="33">
        <f t="shared" si="196"/>
        <v>1.007124E-2</v>
      </c>
      <c r="L795" s="33"/>
      <c r="O795" s="2">
        <f t="shared" si="197"/>
        <v>1.2573333333333334E-2</v>
      </c>
      <c r="P795" s="2">
        <f t="shared" si="198"/>
        <v>9.0528000000000013</v>
      </c>
      <c r="Q795" s="7">
        <f t="shared" si="199"/>
        <v>41.000000000000007</v>
      </c>
      <c r="R795" s="2">
        <v>1.2</v>
      </c>
      <c r="S795" s="2">
        <f t="shared" si="192"/>
        <v>4.45</v>
      </c>
      <c r="T795" s="2"/>
      <c r="U795" s="2"/>
      <c r="Y795" s="8">
        <f t="shared" si="193"/>
        <v>1.4596000000000002</v>
      </c>
    </row>
    <row r="796" spans="1:25" x14ac:dyDescent="0.25">
      <c r="A796" s="34">
        <f t="shared" ref="A796:B811" si="201">A795+1</f>
        <v>788</v>
      </c>
      <c r="B796" s="35" t="e">
        <f t="shared" si="201"/>
        <v>#REF!</v>
      </c>
      <c r="C796" s="40" t="s">
        <v>227</v>
      </c>
      <c r="D796" s="35">
        <v>80</v>
      </c>
      <c r="E796" s="35">
        <v>2</v>
      </c>
      <c r="F796" s="36">
        <f>190026/1000000</f>
        <v>0.190026</v>
      </c>
      <c r="G796" s="36">
        <f t="shared" si="194"/>
        <v>3.7435122000000001E-2</v>
      </c>
      <c r="H796" s="36">
        <f>71392/1000000</f>
        <v>7.1391999999999997E-2</v>
      </c>
      <c r="I796" s="37">
        <f t="shared" si="195"/>
        <v>1.0708799999999999E-2</v>
      </c>
      <c r="J796" s="32">
        <f t="shared" si="191"/>
        <v>0.15884719999999999</v>
      </c>
      <c r="K796" s="33">
        <f t="shared" si="196"/>
        <v>2.3827079999999997E-2</v>
      </c>
      <c r="L796" s="33"/>
      <c r="O796" s="2">
        <f t="shared" si="197"/>
        <v>2.9746666666666668E-2</v>
      </c>
      <c r="P796" s="2">
        <f t="shared" si="198"/>
        <v>21.4176</v>
      </c>
      <c r="Q796" s="7">
        <f t="shared" si="199"/>
        <v>97</v>
      </c>
      <c r="R796" s="2">
        <v>1.2</v>
      </c>
      <c r="S796" s="2">
        <f t="shared" si="192"/>
        <v>4.45</v>
      </c>
      <c r="T796" s="2"/>
      <c r="U796" s="2"/>
      <c r="Y796" s="8">
        <f t="shared" si="193"/>
        <v>3.4531999999999998</v>
      </c>
    </row>
    <row r="797" spans="1:25" x14ac:dyDescent="0.25">
      <c r="A797" s="34">
        <f t="shared" si="201"/>
        <v>789</v>
      </c>
      <c r="B797" s="35" t="e">
        <f t="shared" si="201"/>
        <v>#REF!</v>
      </c>
      <c r="C797" s="40" t="s">
        <v>229</v>
      </c>
      <c r="D797" s="35">
        <v>4</v>
      </c>
      <c r="E797" s="35"/>
      <c r="F797" s="36">
        <f>95100/1000000</f>
        <v>9.5100000000000004E-2</v>
      </c>
      <c r="G797" s="36">
        <f t="shared" si="194"/>
        <v>1.87347E-2</v>
      </c>
      <c r="H797" s="36">
        <f>47104/1000000</f>
        <v>4.7104E-2</v>
      </c>
      <c r="I797" s="37">
        <f t="shared" si="195"/>
        <v>7.0656E-3</v>
      </c>
      <c r="J797" s="32">
        <f t="shared" si="191"/>
        <v>0.10480640000000001</v>
      </c>
      <c r="K797" s="33">
        <f t="shared" si="196"/>
        <v>1.5720959999999999E-2</v>
      </c>
      <c r="L797" s="24" t="s">
        <v>16</v>
      </c>
      <c r="O797" s="2">
        <f t="shared" si="197"/>
        <v>1.9626666666666667E-2</v>
      </c>
      <c r="P797" s="2">
        <f t="shared" si="198"/>
        <v>14.1312</v>
      </c>
      <c r="Q797" s="7">
        <f t="shared" si="199"/>
        <v>64</v>
      </c>
      <c r="R797" s="2">
        <v>1.2</v>
      </c>
      <c r="S797" s="2">
        <f t="shared" si="192"/>
        <v>4.45</v>
      </c>
      <c r="T797" s="2"/>
      <c r="U797" s="2"/>
      <c r="Y797" s="8">
        <f t="shared" si="193"/>
        <v>2.2784000000000004</v>
      </c>
    </row>
    <row r="798" spans="1:25" x14ac:dyDescent="0.25">
      <c r="A798" s="34">
        <f t="shared" si="201"/>
        <v>790</v>
      </c>
      <c r="B798" s="35" t="e">
        <f t="shared" si="201"/>
        <v>#REF!</v>
      </c>
      <c r="C798" s="40" t="s">
        <v>229</v>
      </c>
      <c r="D798" s="35">
        <v>10</v>
      </c>
      <c r="E798" s="35"/>
      <c r="F798" s="36">
        <v>0.20380000000000001</v>
      </c>
      <c r="G798" s="36">
        <v>4.02E-2</v>
      </c>
      <c r="H798" s="36">
        <v>7.2700000000000001E-2</v>
      </c>
      <c r="I798" s="37">
        <v>1.09E-2</v>
      </c>
      <c r="J798" s="32">
        <f t="shared" si="191"/>
        <v>0.1617575</v>
      </c>
      <c r="K798" s="33">
        <f t="shared" si="196"/>
        <v>2.4263625E-2</v>
      </c>
      <c r="L798" s="24" t="s">
        <v>16</v>
      </c>
      <c r="O798" s="2">
        <f t="shared" si="197"/>
        <v>3.0291666666666668E-2</v>
      </c>
      <c r="P798" s="2">
        <f t="shared" si="198"/>
        <v>21.810000000000002</v>
      </c>
      <c r="Q798" s="7">
        <f t="shared" si="199"/>
        <v>98.777173913043484</v>
      </c>
      <c r="R798" s="2">
        <v>1.2</v>
      </c>
      <c r="S798" s="2">
        <f t="shared" si="192"/>
        <v>4.45</v>
      </c>
      <c r="T798" s="2"/>
      <c r="U798" s="2"/>
      <c r="Y798" s="8">
        <f t="shared" si="193"/>
        <v>3.516467391304348</v>
      </c>
    </row>
    <row r="799" spans="1:25" x14ac:dyDescent="0.25">
      <c r="A799" s="34">
        <f t="shared" si="201"/>
        <v>791</v>
      </c>
      <c r="B799" s="35" t="e">
        <f t="shared" si="201"/>
        <v>#REF!</v>
      </c>
      <c r="C799" s="40" t="s">
        <v>230</v>
      </c>
      <c r="D799" s="35">
        <v>1</v>
      </c>
      <c r="E799" s="35"/>
      <c r="F799" s="36">
        <f>140635/1000000</f>
        <v>0.14063500000000001</v>
      </c>
      <c r="G799" s="36">
        <f t="shared" ref="G799:G813" si="202">F799*0.197</f>
        <v>2.7705095000000002E-2</v>
      </c>
      <c r="H799" s="36">
        <f>55200/1000000</f>
        <v>5.5199999999999999E-2</v>
      </c>
      <c r="I799" s="37">
        <f t="shared" ref="I799:I813" si="203">H799*0.15</f>
        <v>8.2799999999999992E-3</v>
      </c>
      <c r="J799" s="32">
        <f t="shared" si="191"/>
        <v>0.12282</v>
      </c>
      <c r="K799" s="33">
        <f t="shared" si="196"/>
        <v>1.8422999999999998E-2</v>
      </c>
      <c r="L799" s="24" t="s">
        <v>16</v>
      </c>
      <c r="O799" s="2">
        <f t="shared" si="197"/>
        <v>2.3E-2</v>
      </c>
      <c r="P799" s="2">
        <f t="shared" si="198"/>
        <v>16.560000000000002</v>
      </c>
      <c r="Q799" s="7">
        <f t="shared" si="199"/>
        <v>75.000000000000014</v>
      </c>
      <c r="R799" s="2">
        <v>1.2</v>
      </c>
      <c r="S799" s="2">
        <f t="shared" si="192"/>
        <v>4.45</v>
      </c>
      <c r="T799" s="2"/>
      <c r="U799" s="2"/>
      <c r="Y799" s="8">
        <f t="shared" si="193"/>
        <v>2.67</v>
      </c>
    </row>
    <row r="800" spans="1:25" x14ac:dyDescent="0.25">
      <c r="A800" s="34">
        <f t="shared" si="201"/>
        <v>792</v>
      </c>
      <c r="B800" s="35" t="e">
        <f t="shared" si="201"/>
        <v>#REF!</v>
      </c>
      <c r="C800" s="40" t="s">
        <v>230</v>
      </c>
      <c r="D800" s="35">
        <v>2</v>
      </c>
      <c r="E800" s="35"/>
      <c r="F800" s="36">
        <f>116670/1000000</f>
        <v>0.11667</v>
      </c>
      <c r="G800" s="36">
        <f t="shared" si="202"/>
        <v>2.2983989999999999E-2</v>
      </c>
      <c r="H800" s="36">
        <f>48576/1000000</f>
        <v>4.8576000000000001E-2</v>
      </c>
      <c r="I800" s="37">
        <f t="shared" si="203"/>
        <v>7.2864000000000002E-3</v>
      </c>
      <c r="J800" s="32">
        <f t="shared" si="191"/>
        <v>0.1080816</v>
      </c>
      <c r="K800" s="33">
        <f t="shared" si="196"/>
        <v>1.6212239999999999E-2</v>
      </c>
      <c r="L800" s="33"/>
      <c r="O800" s="2">
        <f t="shared" si="197"/>
        <v>2.0240000000000001E-2</v>
      </c>
      <c r="P800" s="2">
        <f t="shared" si="198"/>
        <v>14.572800000000001</v>
      </c>
      <c r="Q800" s="7">
        <f t="shared" si="199"/>
        <v>66</v>
      </c>
      <c r="R800" s="2">
        <v>1.2</v>
      </c>
      <c r="S800" s="2">
        <f t="shared" si="192"/>
        <v>4.45</v>
      </c>
      <c r="T800" s="2"/>
      <c r="U800" s="2"/>
      <c r="Y800" s="8">
        <f t="shared" si="193"/>
        <v>2.3495999999999997</v>
      </c>
    </row>
    <row r="801" spans="1:25" x14ac:dyDescent="0.25">
      <c r="A801" s="34">
        <f t="shared" si="201"/>
        <v>793</v>
      </c>
      <c r="B801" s="35" t="e">
        <f t="shared" si="201"/>
        <v>#REF!</v>
      </c>
      <c r="C801" s="40" t="s">
        <v>230</v>
      </c>
      <c r="D801" s="35">
        <v>3</v>
      </c>
      <c r="E801" s="35"/>
      <c r="F801" s="36">
        <f>142277/1000000</f>
        <v>0.14227699999999999</v>
      </c>
      <c r="G801" s="36">
        <f t="shared" si="202"/>
        <v>2.8028569E-2</v>
      </c>
      <c r="H801" s="36">
        <f>54463/1000000</f>
        <v>5.4462999999999998E-2</v>
      </c>
      <c r="I801" s="37">
        <f t="shared" si="203"/>
        <v>8.16945E-3</v>
      </c>
      <c r="J801" s="32">
        <f t="shared" si="191"/>
        <v>0.121180175</v>
      </c>
      <c r="K801" s="33">
        <f t="shared" si="196"/>
        <v>1.8177026249999999E-2</v>
      </c>
      <c r="L801" s="33"/>
      <c r="O801" s="2">
        <f t="shared" si="197"/>
        <v>2.2692916666666667E-2</v>
      </c>
      <c r="P801" s="2">
        <f t="shared" si="198"/>
        <v>16.338899999999999</v>
      </c>
      <c r="Q801" s="7">
        <f t="shared" si="199"/>
        <v>73.998641304347828</v>
      </c>
      <c r="R801" s="2">
        <v>1.2</v>
      </c>
      <c r="S801" s="2">
        <f t="shared" si="192"/>
        <v>4.45</v>
      </c>
      <c r="T801" s="2"/>
      <c r="U801" s="2"/>
      <c r="Y801" s="8">
        <f t="shared" si="193"/>
        <v>2.6343516304347827</v>
      </c>
    </row>
    <row r="802" spans="1:25" x14ac:dyDescent="0.25">
      <c r="A802" s="34">
        <f t="shared" si="201"/>
        <v>794</v>
      </c>
      <c r="B802" s="35" t="e">
        <f t="shared" si="201"/>
        <v>#REF!</v>
      </c>
      <c r="C802" s="40" t="s">
        <v>230</v>
      </c>
      <c r="D802" s="35" t="s">
        <v>155</v>
      </c>
      <c r="E802" s="35"/>
      <c r="F802" s="36">
        <f>142067/1000000</f>
        <v>0.142067</v>
      </c>
      <c r="G802" s="36">
        <f t="shared" si="202"/>
        <v>2.7987199000000001E-2</v>
      </c>
      <c r="H802" s="36">
        <f>55200/1000000</f>
        <v>5.5199999999999999E-2</v>
      </c>
      <c r="I802" s="37">
        <f t="shared" si="203"/>
        <v>8.2799999999999992E-3</v>
      </c>
      <c r="J802" s="32">
        <f t="shared" si="191"/>
        <v>0.12282</v>
      </c>
      <c r="K802" s="33">
        <f t="shared" si="196"/>
        <v>1.8422999999999998E-2</v>
      </c>
      <c r="L802" s="33"/>
      <c r="O802" s="2">
        <f t="shared" si="197"/>
        <v>2.3E-2</v>
      </c>
      <c r="P802" s="2">
        <f t="shared" si="198"/>
        <v>16.560000000000002</v>
      </c>
      <c r="Q802" s="7">
        <f t="shared" si="199"/>
        <v>75.000000000000014</v>
      </c>
      <c r="R802" s="2">
        <v>1.2</v>
      </c>
      <c r="S802" s="2">
        <f t="shared" si="192"/>
        <v>4.45</v>
      </c>
      <c r="T802" s="2"/>
      <c r="U802" s="2"/>
      <c r="Y802" s="8">
        <f t="shared" si="193"/>
        <v>2.67</v>
      </c>
    </row>
    <row r="803" spans="1:25" x14ac:dyDescent="0.25">
      <c r="A803" s="34">
        <f t="shared" si="201"/>
        <v>795</v>
      </c>
      <c r="B803" s="35" t="e">
        <f t="shared" si="201"/>
        <v>#REF!</v>
      </c>
      <c r="C803" s="40" t="s">
        <v>230</v>
      </c>
      <c r="D803" s="35" t="s">
        <v>158</v>
      </c>
      <c r="E803" s="35"/>
      <c r="F803" s="36">
        <f>140806/1000000</f>
        <v>0.14080599999999999</v>
      </c>
      <c r="G803" s="36">
        <f t="shared" si="202"/>
        <v>2.7738782E-2</v>
      </c>
      <c r="H803" s="36">
        <f>52994/1000000</f>
        <v>5.2993999999999999E-2</v>
      </c>
      <c r="I803" s="37">
        <f t="shared" si="203"/>
        <v>7.9490999999999989E-3</v>
      </c>
      <c r="J803" s="32">
        <f t="shared" si="191"/>
        <v>0.11791165000000001</v>
      </c>
      <c r="K803" s="33">
        <f t="shared" si="196"/>
        <v>1.7686747499999999E-2</v>
      </c>
      <c r="L803" s="33"/>
      <c r="O803" s="2">
        <f t="shared" si="197"/>
        <v>2.2080833333333334E-2</v>
      </c>
      <c r="P803" s="2">
        <f t="shared" si="198"/>
        <v>15.898200000000003</v>
      </c>
      <c r="Q803" s="7">
        <f t="shared" si="199"/>
        <v>72.002717391304358</v>
      </c>
      <c r="R803" s="2">
        <v>1.2</v>
      </c>
      <c r="S803" s="2">
        <f t="shared" si="192"/>
        <v>4.45</v>
      </c>
      <c r="T803" s="2"/>
      <c r="U803" s="2"/>
      <c r="Y803" s="8">
        <f t="shared" si="193"/>
        <v>2.5632967391304349</v>
      </c>
    </row>
    <row r="804" spans="1:25" x14ac:dyDescent="0.25">
      <c r="A804" s="34">
        <f t="shared" si="201"/>
        <v>796</v>
      </c>
      <c r="B804" s="35" t="e">
        <f t="shared" si="201"/>
        <v>#REF!</v>
      </c>
      <c r="C804" s="40" t="s">
        <v>230</v>
      </c>
      <c r="D804" s="35">
        <v>4</v>
      </c>
      <c r="E804" s="35"/>
      <c r="F804" s="36">
        <f>114667/1000000</f>
        <v>0.11466700000000001</v>
      </c>
      <c r="G804" s="36">
        <f t="shared" si="202"/>
        <v>2.2589399000000003E-2</v>
      </c>
      <c r="H804" s="36">
        <f>44160/1000000</f>
        <v>4.4159999999999998E-2</v>
      </c>
      <c r="I804" s="37">
        <f t="shared" si="203"/>
        <v>6.6239999999999997E-3</v>
      </c>
      <c r="J804" s="32">
        <f t="shared" si="191"/>
        <v>9.8255999999999996E-2</v>
      </c>
      <c r="K804" s="33">
        <f t="shared" si="196"/>
        <v>1.4738399999999999E-2</v>
      </c>
      <c r="L804" s="33"/>
      <c r="O804" s="2">
        <f t="shared" si="197"/>
        <v>1.84E-2</v>
      </c>
      <c r="P804" s="2">
        <f t="shared" si="198"/>
        <v>13.247999999999999</v>
      </c>
      <c r="Q804" s="7">
        <f t="shared" si="199"/>
        <v>60</v>
      </c>
      <c r="R804" s="2">
        <v>1.2</v>
      </c>
      <c r="S804" s="2">
        <f t="shared" si="192"/>
        <v>4.45</v>
      </c>
      <c r="T804" s="2"/>
      <c r="U804" s="2"/>
      <c r="Y804" s="8">
        <f t="shared" si="193"/>
        <v>2.1359999999999997</v>
      </c>
    </row>
    <row r="805" spans="1:25" x14ac:dyDescent="0.25">
      <c r="A805" s="34">
        <f t="shared" si="201"/>
        <v>797</v>
      </c>
      <c r="B805" s="35" t="e">
        <f t="shared" si="201"/>
        <v>#REF!</v>
      </c>
      <c r="C805" s="40" t="s">
        <v>230</v>
      </c>
      <c r="D805" s="35">
        <v>5</v>
      </c>
      <c r="E805" s="35"/>
      <c r="F805" s="36">
        <f>142067/1000000</f>
        <v>0.142067</v>
      </c>
      <c r="G805" s="36">
        <f t="shared" si="202"/>
        <v>2.7987199000000001E-2</v>
      </c>
      <c r="H805" s="36">
        <f>50784/1000000</f>
        <v>5.0784000000000003E-2</v>
      </c>
      <c r="I805" s="37">
        <f t="shared" si="203"/>
        <v>7.6176000000000004E-3</v>
      </c>
      <c r="J805" s="32">
        <f t="shared" si="191"/>
        <v>0.11299440000000001</v>
      </c>
      <c r="K805" s="33">
        <f t="shared" si="196"/>
        <v>1.6949160000000001E-2</v>
      </c>
      <c r="L805" s="33"/>
      <c r="O805" s="2">
        <f t="shared" si="197"/>
        <v>2.1160000000000002E-2</v>
      </c>
      <c r="P805" s="2">
        <f t="shared" si="198"/>
        <v>15.235200000000003</v>
      </c>
      <c r="Q805" s="7">
        <f t="shared" si="199"/>
        <v>69.000000000000014</v>
      </c>
      <c r="R805" s="2">
        <v>1.2</v>
      </c>
      <c r="S805" s="2">
        <f t="shared" si="192"/>
        <v>4.45</v>
      </c>
      <c r="T805" s="2"/>
      <c r="U805" s="2"/>
      <c r="Y805" s="8">
        <f t="shared" si="193"/>
        <v>2.4563999999999999</v>
      </c>
    </row>
    <row r="806" spans="1:25" x14ac:dyDescent="0.25">
      <c r="A806" s="34">
        <f t="shared" si="201"/>
        <v>798</v>
      </c>
      <c r="B806" s="35" t="e">
        <f t="shared" si="201"/>
        <v>#REF!</v>
      </c>
      <c r="C806" s="40" t="s">
        <v>230</v>
      </c>
      <c r="D806" s="35" t="s">
        <v>83</v>
      </c>
      <c r="E806" s="35"/>
      <c r="F806" s="36">
        <f>142068/1000000</f>
        <v>0.142068</v>
      </c>
      <c r="G806" s="36">
        <f t="shared" si="202"/>
        <v>2.7987396000000001E-2</v>
      </c>
      <c r="H806" s="36">
        <f>53760/1000000</f>
        <v>5.3760000000000002E-2</v>
      </c>
      <c r="I806" s="37">
        <f t="shared" si="203"/>
        <v>8.064E-3</v>
      </c>
      <c r="J806" s="32">
        <f t="shared" si="191"/>
        <v>0.11961600000000003</v>
      </c>
      <c r="K806" s="33">
        <f t="shared" si="196"/>
        <v>1.7942400000000004E-2</v>
      </c>
      <c r="L806" s="33"/>
      <c r="O806" s="2">
        <f t="shared" si="197"/>
        <v>2.2400000000000003E-2</v>
      </c>
      <c r="P806" s="2">
        <f t="shared" si="198"/>
        <v>16.128000000000004</v>
      </c>
      <c r="Q806" s="7">
        <f t="shared" si="199"/>
        <v>73.043478260869577</v>
      </c>
      <c r="R806" s="2">
        <v>1.2</v>
      </c>
      <c r="S806" s="2">
        <f t="shared" si="192"/>
        <v>4.45</v>
      </c>
      <c r="T806" s="2"/>
      <c r="U806" s="2"/>
      <c r="Y806" s="8">
        <f t="shared" si="193"/>
        <v>2.6003478260869572</v>
      </c>
    </row>
    <row r="807" spans="1:25" x14ac:dyDescent="0.25">
      <c r="A807" s="34">
        <f t="shared" si="201"/>
        <v>799</v>
      </c>
      <c r="B807" s="35" t="e">
        <f t="shared" si="201"/>
        <v>#REF!</v>
      </c>
      <c r="C807" s="40" t="s">
        <v>230</v>
      </c>
      <c r="D807" s="35" t="s">
        <v>121</v>
      </c>
      <c r="E807" s="35"/>
      <c r="F807" s="36">
        <f>142316/1000000</f>
        <v>0.142316</v>
      </c>
      <c r="G807" s="36">
        <f t="shared" si="202"/>
        <v>2.8036252000000001E-2</v>
      </c>
      <c r="H807" s="36">
        <f>62560/1000000</f>
        <v>6.2560000000000004E-2</v>
      </c>
      <c r="I807" s="37">
        <f t="shared" si="203"/>
        <v>9.384E-3</v>
      </c>
      <c r="J807" s="32">
        <f t="shared" si="191"/>
        <v>0.13919600000000001</v>
      </c>
      <c r="K807" s="33">
        <f t="shared" si="196"/>
        <v>2.0879400000000003E-2</v>
      </c>
      <c r="L807" s="33"/>
      <c r="O807" s="2">
        <f t="shared" si="197"/>
        <v>2.6066666666666669E-2</v>
      </c>
      <c r="P807" s="2">
        <f t="shared" si="198"/>
        <v>18.768000000000001</v>
      </c>
      <c r="Q807" s="7">
        <f t="shared" si="199"/>
        <v>85</v>
      </c>
      <c r="R807" s="2">
        <v>1.2</v>
      </c>
      <c r="S807" s="2">
        <f t="shared" si="192"/>
        <v>4.45</v>
      </c>
      <c r="T807" s="2"/>
      <c r="U807" s="2"/>
      <c r="Y807" s="8">
        <f t="shared" si="193"/>
        <v>3.0260000000000007</v>
      </c>
    </row>
    <row r="808" spans="1:25" x14ac:dyDescent="0.25">
      <c r="A808" s="34">
        <f t="shared" si="201"/>
        <v>800</v>
      </c>
      <c r="B808" s="35" t="e">
        <f t="shared" si="201"/>
        <v>#REF!</v>
      </c>
      <c r="C808" s="40" t="s">
        <v>230</v>
      </c>
      <c r="D808" s="35" t="s">
        <v>27</v>
      </c>
      <c r="E808" s="35"/>
      <c r="F808" s="36">
        <f>86197/1000000</f>
        <v>8.6196999999999996E-2</v>
      </c>
      <c r="G808" s="36">
        <f t="shared" si="202"/>
        <v>1.6980808999999999E-2</v>
      </c>
      <c r="H808" s="36">
        <f>51521/1000000</f>
        <v>5.1520999999999997E-2</v>
      </c>
      <c r="I808" s="37">
        <f t="shared" si="203"/>
        <v>7.7281499999999996E-3</v>
      </c>
      <c r="J808" s="32">
        <f t="shared" si="191"/>
        <v>0.11463422500000002</v>
      </c>
      <c r="K808" s="33">
        <f t="shared" si="196"/>
        <v>1.7195133750000001E-2</v>
      </c>
      <c r="L808" s="24" t="s">
        <v>16</v>
      </c>
      <c r="O808" s="2">
        <f t="shared" si="197"/>
        <v>2.1467083333333335E-2</v>
      </c>
      <c r="P808" s="2">
        <f t="shared" si="198"/>
        <v>15.456300000000002</v>
      </c>
      <c r="Q808" s="7">
        <f t="shared" si="199"/>
        <v>70.001358695652186</v>
      </c>
      <c r="R808" s="2">
        <v>1.2</v>
      </c>
      <c r="S808" s="2">
        <f t="shared" si="192"/>
        <v>4.45</v>
      </c>
      <c r="T808" s="2"/>
      <c r="U808" s="2"/>
      <c r="Y808" s="8">
        <f t="shared" si="193"/>
        <v>2.492048369565218</v>
      </c>
    </row>
    <row r="809" spans="1:25" x14ac:dyDescent="0.25">
      <c r="A809" s="34">
        <f t="shared" si="201"/>
        <v>801</v>
      </c>
      <c r="B809" s="35" t="e">
        <f t="shared" si="201"/>
        <v>#REF!</v>
      </c>
      <c r="C809" s="40" t="s">
        <v>230</v>
      </c>
      <c r="D809" s="35">
        <v>7</v>
      </c>
      <c r="E809" s="35"/>
      <c r="F809" s="36">
        <f>105662/1000000</f>
        <v>0.10566200000000001</v>
      </c>
      <c r="G809" s="36">
        <f t="shared" si="202"/>
        <v>2.0815414000000001E-2</v>
      </c>
      <c r="H809" s="36">
        <f>52980/1000000</f>
        <v>5.2979999999999999E-2</v>
      </c>
      <c r="I809" s="37">
        <f t="shared" si="203"/>
        <v>7.9469999999999992E-3</v>
      </c>
      <c r="J809" s="32">
        <f t="shared" si="191"/>
        <v>0.1178805</v>
      </c>
      <c r="K809" s="33">
        <f t="shared" si="196"/>
        <v>1.7682074999999998E-2</v>
      </c>
      <c r="L809" s="33"/>
      <c r="O809" s="2">
        <f t="shared" si="197"/>
        <v>2.2075000000000001E-2</v>
      </c>
      <c r="P809" s="2">
        <f t="shared" si="198"/>
        <v>15.894000000000002</v>
      </c>
      <c r="Q809" s="7">
        <f t="shared" si="199"/>
        <v>71.983695652173921</v>
      </c>
      <c r="R809" s="2">
        <v>1.2</v>
      </c>
      <c r="S809" s="2">
        <f t="shared" si="192"/>
        <v>4.45</v>
      </c>
      <c r="T809" s="2"/>
      <c r="U809" s="2"/>
      <c r="Y809" s="8">
        <f t="shared" si="193"/>
        <v>2.5626195652173913</v>
      </c>
    </row>
    <row r="810" spans="1:25" x14ac:dyDescent="0.25">
      <c r="A810" s="34">
        <f t="shared" si="201"/>
        <v>802</v>
      </c>
      <c r="B810" s="35" t="e">
        <f t="shared" si="201"/>
        <v>#REF!</v>
      </c>
      <c r="C810" s="40" t="s">
        <v>230</v>
      </c>
      <c r="D810" s="35" t="s">
        <v>85</v>
      </c>
      <c r="E810" s="35"/>
      <c r="F810" s="36">
        <f>105662/1000000</f>
        <v>0.10566200000000001</v>
      </c>
      <c r="G810" s="36">
        <f t="shared" si="202"/>
        <v>2.0815414000000001E-2</v>
      </c>
      <c r="H810" s="36">
        <f>55890/1000000</f>
        <v>5.5890000000000002E-2</v>
      </c>
      <c r="I810" s="37">
        <f t="shared" si="203"/>
        <v>8.3835000000000003E-3</v>
      </c>
      <c r="J810" s="32">
        <f t="shared" si="191"/>
        <v>0.12435525000000001</v>
      </c>
      <c r="K810" s="33">
        <f t="shared" si="196"/>
        <v>1.8653287500000001E-2</v>
      </c>
      <c r="L810" s="33"/>
      <c r="O810" s="2">
        <f t="shared" si="197"/>
        <v>2.3287500000000003E-2</v>
      </c>
      <c r="P810" s="2">
        <f t="shared" si="198"/>
        <v>16.767000000000003</v>
      </c>
      <c r="Q810" s="7">
        <f t="shared" si="199"/>
        <v>75.937500000000014</v>
      </c>
      <c r="R810" s="2">
        <v>1.2</v>
      </c>
      <c r="S810" s="2">
        <f t="shared" si="192"/>
        <v>4.45</v>
      </c>
      <c r="T810" s="2"/>
      <c r="U810" s="2"/>
      <c r="Y810" s="8">
        <f t="shared" si="193"/>
        <v>2.7033750000000003</v>
      </c>
    </row>
    <row r="811" spans="1:25" x14ac:dyDescent="0.25">
      <c r="A811" s="34">
        <f t="shared" si="201"/>
        <v>803</v>
      </c>
      <c r="B811" s="35" t="e">
        <f t="shared" si="201"/>
        <v>#REF!</v>
      </c>
      <c r="C811" s="40" t="s">
        <v>230</v>
      </c>
      <c r="D811" s="35" t="s">
        <v>231</v>
      </c>
      <c r="E811" s="35"/>
      <c r="F811" s="36">
        <f>105662/1000000</f>
        <v>0.10566200000000001</v>
      </c>
      <c r="G811" s="36">
        <f t="shared" si="202"/>
        <v>2.0815414000000001E-2</v>
      </c>
      <c r="H811" s="36">
        <f>47880/1000000</f>
        <v>4.7879999999999999E-2</v>
      </c>
      <c r="I811" s="37">
        <f t="shared" si="203"/>
        <v>7.1819999999999991E-3</v>
      </c>
      <c r="J811" s="32">
        <f t="shared" si="191"/>
        <v>0.106533</v>
      </c>
      <c r="K811" s="33">
        <f t="shared" si="196"/>
        <v>1.597995E-2</v>
      </c>
      <c r="L811" s="33"/>
      <c r="O811" s="2">
        <f t="shared" si="197"/>
        <v>1.9949999999999999E-2</v>
      </c>
      <c r="P811" s="2">
        <f t="shared" si="198"/>
        <v>14.364000000000001</v>
      </c>
      <c r="Q811" s="7">
        <f t="shared" si="199"/>
        <v>65.054347826086968</v>
      </c>
      <c r="R811" s="2">
        <v>1.2</v>
      </c>
      <c r="S811" s="2">
        <f t="shared" si="192"/>
        <v>4.45</v>
      </c>
      <c r="T811" s="2"/>
      <c r="U811" s="2"/>
      <c r="Y811" s="8">
        <f t="shared" si="193"/>
        <v>2.3159347826086956</v>
      </c>
    </row>
    <row r="812" spans="1:25" x14ac:dyDescent="0.25">
      <c r="A812" s="34">
        <f t="shared" ref="A812:B827" si="204">A811+1</f>
        <v>804</v>
      </c>
      <c r="B812" s="35" t="e">
        <f t="shared" si="204"/>
        <v>#REF!</v>
      </c>
      <c r="C812" s="40" t="s">
        <v>230</v>
      </c>
      <c r="D812" s="35" t="s">
        <v>232</v>
      </c>
      <c r="E812" s="35"/>
      <c r="F812" s="36">
        <f>114655/1000000</f>
        <v>0.11465500000000001</v>
      </c>
      <c r="G812" s="36">
        <f t="shared" si="202"/>
        <v>2.2587035000000002E-2</v>
      </c>
      <c r="H812" s="36">
        <f>51521/1000000</f>
        <v>5.1520999999999997E-2</v>
      </c>
      <c r="I812" s="37">
        <f t="shared" si="203"/>
        <v>7.7281499999999996E-3</v>
      </c>
      <c r="J812" s="32">
        <f t="shared" si="191"/>
        <v>0.11463422500000002</v>
      </c>
      <c r="K812" s="33">
        <f t="shared" si="196"/>
        <v>1.7195133750000001E-2</v>
      </c>
      <c r="L812" s="33"/>
      <c r="O812" s="2">
        <f t="shared" si="197"/>
        <v>2.1467083333333335E-2</v>
      </c>
      <c r="P812" s="2">
        <f t="shared" si="198"/>
        <v>15.456300000000002</v>
      </c>
      <c r="Q812" s="7">
        <f t="shared" si="199"/>
        <v>70.001358695652186</v>
      </c>
      <c r="R812" s="2">
        <v>1.2</v>
      </c>
      <c r="S812" s="2">
        <f t="shared" si="192"/>
        <v>4.45</v>
      </c>
      <c r="T812" s="2"/>
      <c r="U812" s="2"/>
      <c r="Y812" s="8">
        <f t="shared" si="193"/>
        <v>2.492048369565218</v>
      </c>
    </row>
    <row r="813" spans="1:25" x14ac:dyDescent="0.25">
      <c r="A813" s="34">
        <f t="shared" si="204"/>
        <v>805</v>
      </c>
      <c r="B813" s="35" t="e">
        <f t="shared" si="204"/>
        <v>#REF!</v>
      </c>
      <c r="C813" s="40" t="s">
        <v>230</v>
      </c>
      <c r="D813" s="35" t="s">
        <v>233</v>
      </c>
      <c r="E813" s="35"/>
      <c r="F813" s="36">
        <f>107311/1000000</f>
        <v>0.107311</v>
      </c>
      <c r="G813" s="36">
        <f t="shared" si="202"/>
        <v>2.1140267000000001E-2</v>
      </c>
      <c r="H813" s="36">
        <f>37536/1000000</f>
        <v>3.7536E-2</v>
      </c>
      <c r="I813" s="37">
        <f t="shared" si="203"/>
        <v>5.6303999999999998E-3</v>
      </c>
      <c r="J813" s="32">
        <f t="shared" si="191"/>
        <v>8.3517599999999997E-2</v>
      </c>
      <c r="K813" s="33">
        <f t="shared" si="196"/>
        <v>1.252764E-2</v>
      </c>
      <c r="L813" s="33"/>
      <c r="O813" s="2">
        <f t="shared" si="197"/>
        <v>1.5640000000000001E-2</v>
      </c>
      <c r="P813" s="2">
        <f t="shared" si="198"/>
        <v>11.260800000000001</v>
      </c>
      <c r="Q813" s="7">
        <f t="shared" si="199"/>
        <v>51.000000000000007</v>
      </c>
      <c r="R813" s="2">
        <v>1.2</v>
      </c>
      <c r="S813" s="2">
        <f t="shared" si="192"/>
        <v>4.45</v>
      </c>
      <c r="T813" s="2"/>
      <c r="U813" s="2"/>
      <c r="Y813" s="8">
        <f t="shared" si="193"/>
        <v>1.8155999999999999</v>
      </c>
    </row>
    <row r="814" spans="1:25" x14ac:dyDescent="0.25">
      <c r="A814" s="34">
        <f t="shared" si="204"/>
        <v>806</v>
      </c>
      <c r="B814" s="35" t="e">
        <f t="shared" si="204"/>
        <v>#REF!</v>
      </c>
      <c r="C814" s="40" t="s">
        <v>234</v>
      </c>
      <c r="D814" s="35">
        <v>20</v>
      </c>
      <c r="E814" s="35"/>
      <c r="F814" s="36">
        <v>0.15679999999999999</v>
      </c>
      <c r="G814" s="36">
        <v>3.09E-2</v>
      </c>
      <c r="H814" s="36">
        <v>6.5600000000000006E-2</v>
      </c>
      <c r="I814" s="37">
        <v>9.7999999999999997E-3</v>
      </c>
      <c r="J814" s="32">
        <f t="shared" si="191"/>
        <v>0.14596000000000001</v>
      </c>
      <c r="K814" s="33">
        <f t="shared" si="196"/>
        <v>2.1894E-2</v>
      </c>
      <c r="L814" s="33"/>
      <c r="O814" s="2">
        <f t="shared" si="197"/>
        <v>2.7333333333333338E-2</v>
      </c>
      <c r="P814" s="2">
        <f t="shared" si="198"/>
        <v>19.680000000000003</v>
      </c>
      <c r="Q814" s="7">
        <f t="shared" si="199"/>
        <v>89.130434782608717</v>
      </c>
      <c r="R814" s="2">
        <v>1.2</v>
      </c>
      <c r="S814" s="2">
        <f t="shared" si="192"/>
        <v>4.45</v>
      </c>
      <c r="T814" s="2"/>
      <c r="U814" s="2"/>
      <c r="Y814" s="8">
        <f t="shared" si="193"/>
        <v>3.1730434782608699</v>
      </c>
    </row>
    <row r="815" spans="1:25" x14ac:dyDescent="0.25">
      <c r="A815" s="34">
        <f t="shared" si="204"/>
        <v>807</v>
      </c>
      <c r="B815" s="35" t="e">
        <f t="shared" si="204"/>
        <v>#REF!</v>
      </c>
      <c r="C815" s="40" t="s">
        <v>185</v>
      </c>
      <c r="D815" s="35">
        <v>19</v>
      </c>
      <c r="E815" s="35"/>
      <c r="F815" s="36">
        <f>150888/1000000</f>
        <v>0.15088799999999999</v>
      </c>
      <c r="G815" s="36">
        <f t="shared" ref="G815:G828" si="205">F815*0.197</f>
        <v>2.9724936E-2</v>
      </c>
      <c r="H815" s="36">
        <f>72864/1000000</f>
        <v>7.2863999999999998E-2</v>
      </c>
      <c r="I815" s="37">
        <f t="shared" ref="I815:I826" si="206">H815*0.15</f>
        <v>1.0929599999999999E-2</v>
      </c>
      <c r="J815" s="32">
        <f t="shared" si="191"/>
        <v>0.1621224</v>
      </c>
      <c r="K815" s="33">
        <f t="shared" si="196"/>
        <v>2.4318360000000001E-2</v>
      </c>
      <c r="L815" s="33"/>
      <c r="O815" s="2">
        <f t="shared" si="197"/>
        <v>3.0360000000000002E-2</v>
      </c>
      <c r="P815" s="2">
        <f t="shared" si="198"/>
        <v>21.859200000000001</v>
      </c>
      <c r="Q815" s="7">
        <f t="shared" si="199"/>
        <v>99.000000000000014</v>
      </c>
      <c r="R815" s="2">
        <v>1.2</v>
      </c>
      <c r="S815" s="2">
        <f t="shared" si="192"/>
        <v>4.45</v>
      </c>
      <c r="T815" s="2"/>
      <c r="U815" s="2"/>
      <c r="Y815" s="8">
        <f t="shared" si="193"/>
        <v>3.5244</v>
      </c>
    </row>
    <row r="816" spans="1:25" x14ac:dyDescent="0.25">
      <c r="A816" s="34">
        <f t="shared" si="204"/>
        <v>808</v>
      </c>
      <c r="B816" s="35" t="e">
        <f t="shared" si="204"/>
        <v>#REF!</v>
      </c>
      <c r="C816" s="40" t="s">
        <v>185</v>
      </c>
      <c r="D816" s="35">
        <v>21</v>
      </c>
      <c r="E816" s="35"/>
      <c r="F816" s="36">
        <f>154406/1000000</f>
        <v>0.15440599999999999</v>
      </c>
      <c r="G816" s="36">
        <f t="shared" si="205"/>
        <v>3.0417982E-2</v>
      </c>
      <c r="H816" s="36">
        <f>83167/1000000</f>
        <v>8.3167000000000005E-2</v>
      </c>
      <c r="I816" s="37">
        <f t="shared" si="206"/>
        <v>1.247505E-2</v>
      </c>
      <c r="J816" s="32">
        <f t="shared" si="191"/>
        <v>0.18504657500000002</v>
      </c>
      <c r="K816" s="33">
        <f t="shared" si="196"/>
        <v>2.7756986250000001E-2</v>
      </c>
      <c r="L816" s="33"/>
      <c r="O816" s="2">
        <f t="shared" si="197"/>
        <v>3.4652916666666672E-2</v>
      </c>
      <c r="P816" s="2">
        <f t="shared" si="198"/>
        <v>24.950100000000003</v>
      </c>
      <c r="Q816" s="7">
        <f t="shared" si="199"/>
        <v>112.99864130434784</v>
      </c>
      <c r="R816" s="2">
        <v>1.2</v>
      </c>
      <c r="S816" s="2">
        <f t="shared" si="192"/>
        <v>4.45</v>
      </c>
      <c r="T816" s="2"/>
      <c r="U816" s="2"/>
      <c r="Y816" s="8">
        <f t="shared" si="193"/>
        <v>4.022751630434783</v>
      </c>
    </row>
    <row r="817" spans="1:25" x14ac:dyDescent="0.25">
      <c r="A817" s="34">
        <f t="shared" si="204"/>
        <v>809</v>
      </c>
      <c r="B817" s="35" t="e">
        <f t="shared" si="204"/>
        <v>#REF!</v>
      </c>
      <c r="C817" s="40" t="s">
        <v>235</v>
      </c>
      <c r="D817" s="35">
        <v>2</v>
      </c>
      <c r="E817" s="35"/>
      <c r="F817" s="36">
        <f>143931/1000000</f>
        <v>0.143931</v>
      </c>
      <c r="G817" s="36">
        <f t="shared" si="205"/>
        <v>2.8354407000000002E-2</v>
      </c>
      <c r="H817" s="36">
        <f>52258/1000000</f>
        <v>5.2257999999999999E-2</v>
      </c>
      <c r="I817" s="37">
        <f t="shared" si="206"/>
        <v>7.8386999999999988E-3</v>
      </c>
      <c r="J817" s="32">
        <f t="shared" si="191"/>
        <v>0.11627405</v>
      </c>
      <c r="K817" s="33">
        <f t="shared" si="196"/>
        <v>1.7441107500000001E-2</v>
      </c>
      <c r="L817" s="24" t="s">
        <v>16</v>
      </c>
      <c r="O817" s="2">
        <f t="shared" si="197"/>
        <v>2.1774166666666667E-2</v>
      </c>
      <c r="P817" s="2">
        <f t="shared" si="198"/>
        <v>15.677400000000002</v>
      </c>
      <c r="Q817" s="7">
        <f t="shared" si="199"/>
        <v>71.002717391304358</v>
      </c>
      <c r="R817" s="2">
        <v>1.2</v>
      </c>
      <c r="S817" s="2">
        <f t="shared" si="192"/>
        <v>4.45</v>
      </c>
      <c r="T817" s="2"/>
      <c r="U817" s="2"/>
      <c r="Y817" s="8">
        <f t="shared" si="193"/>
        <v>2.5276967391304348</v>
      </c>
    </row>
    <row r="818" spans="1:25" x14ac:dyDescent="0.25">
      <c r="A818" s="34">
        <f t="shared" si="204"/>
        <v>810</v>
      </c>
      <c r="B818" s="35" t="e">
        <f t="shared" si="204"/>
        <v>#REF!</v>
      </c>
      <c r="C818" s="40" t="s">
        <v>235</v>
      </c>
      <c r="D818" s="35">
        <v>4</v>
      </c>
      <c r="E818" s="35"/>
      <c r="F818" s="36">
        <f>137223/1000000</f>
        <v>0.13722300000000001</v>
      </c>
      <c r="G818" s="36">
        <f t="shared" si="205"/>
        <v>2.7032931000000003E-2</v>
      </c>
      <c r="H818" s="36">
        <f>56672/1000000</f>
        <v>5.6672E-2</v>
      </c>
      <c r="I818" s="37">
        <f t="shared" si="206"/>
        <v>8.5007999999999993E-3</v>
      </c>
      <c r="J818" s="32">
        <f t="shared" si="191"/>
        <v>0.12609520000000002</v>
      </c>
      <c r="K818" s="33">
        <f t="shared" si="196"/>
        <v>1.8914280000000002E-2</v>
      </c>
      <c r="L818" s="24" t="s">
        <v>16</v>
      </c>
      <c r="O818" s="2">
        <f t="shared" si="197"/>
        <v>2.3613333333333333E-2</v>
      </c>
      <c r="P818" s="2">
        <f t="shared" si="198"/>
        <v>17.0016</v>
      </c>
      <c r="Q818" s="7">
        <f t="shared" si="199"/>
        <v>77</v>
      </c>
      <c r="R818" s="2">
        <v>1.2</v>
      </c>
      <c r="S818" s="2">
        <f t="shared" si="192"/>
        <v>4.45</v>
      </c>
      <c r="T818" s="2"/>
      <c r="U818" s="2"/>
      <c r="Y818" s="8">
        <f t="shared" si="193"/>
        <v>2.7412000000000005</v>
      </c>
    </row>
    <row r="819" spans="1:25" x14ac:dyDescent="0.25">
      <c r="A819" s="34">
        <f t="shared" si="204"/>
        <v>811</v>
      </c>
      <c r="B819" s="35" t="e">
        <f t="shared" si="204"/>
        <v>#REF!</v>
      </c>
      <c r="C819" s="40" t="s">
        <v>235</v>
      </c>
      <c r="D819" s="35" t="s">
        <v>26</v>
      </c>
      <c r="E819" s="35"/>
      <c r="F819" s="36">
        <f>143345/1000000</f>
        <v>0.143345</v>
      </c>
      <c r="G819" s="36">
        <f t="shared" si="205"/>
        <v>2.8238965000000001E-2</v>
      </c>
      <c r="H819" s="36">
        <f>53726/1000000</f>
        <v>5.3726000000000003E-2</v>
      </c>
      <c r="I819" s="37">
        <f t="shared" si="206"/>
        <v>8.0589000000000008E-3</v>
      </c>
      <c r="J819" s="32">
        <f t="shared" si="191"/>
        <v>0.11954035000000002</v>
      </c>
      <c r="K819" s="33">
        <f t="shared" si="196"/>
        <v>1.7931052500000003E-2</v>
      </c>
      <c r="L819" s="24" t="s">
        <v>16</v>
      </c>
      <c r="O819" s="2">
        <f t="shared" si="197"/>
        <v>2.2385833333333334E-2</v>
      </c>
      <c r="P819" s="2">
        <f t="shared" si="198"/>
        <v>16.117800000000003</v>
      </c>
      <c r="Q819" s="7">
        <f t="shared" si="199"/>
        <v>72.99728260869567</v>
      </c>
      <c r="R819" s="2">
        <v>1.2</v>
      </c>
      <c r="S819" s="2">
        <f t="shared" si="192"/>
        <v>4.45</v>
      </c>
      <c r="T819" s="2"/>
      <c r="U819" s="2"/>
      <c r="Y819" s="8">
        <f t="shared" si="193"/>
        <v>2.5987032608695655</v>
      </c>
    </row>
    <row r="820" spans="1:25" x14ac:dyDescent="0.25">
      <c r="A820" s="34">
        <f t="shared" si="204"/>
        <v>812</v>
      </c>
      <c r="B820" s="35" t="e">
        <f t="shared" si="204"/>
        <v>#REF!</v>
      </c>
      <c r="C820" s="40" t="s">
        <v>235</v>
      </c>
      <c r="D820" s="35" t="s">
        <v>236</v>
      </c>
      <c r="E820" s="35"/>
      <c r="F820" s="36">
        <f>143345/1000000</f>
        <v>0.143345</v>
      </c>
      <c r="G820" s="36">
        <f t="shared" si="205"/>
        <v>2.8238965000000001E-2</v>
      </c>
      <c r="H820" s="36">
        <f>58879/1000000</f>
        <v>5.8879000000000001E-2</v>
      </c>
      <c r="I820" s="37">
        <f t="shared" si="206"/>
        <v>8.8318500000000005E-3</v>
      </c>
      <c r="J820" s="32">
        <f t="shared" si="191"/>
        <v>0.13100577500000002</v>
      </c>
      <c r="K820" s="33">
        <f t="shared" si="196"/>
        <v>1.9650866250000003E-2</v>
      </c>
      <c r="L820" s="24" t="s">
        <v>16</v>
      </c>
      <c r="O820" s="2">
        <f t="shared" si="197"/>
        <v>2.4532916666666668E-2</v>
      </c>
      <c r="P820" s="2">
        <f t="shared" si="198"/>
        <v>17.663700000000002</v>
      </c>
      <c r="Q820" s="7">
        <f t="shared" si="199"/>
        <v>79.998641304347842</v>
      </c>
      <c r="R820" s="2">
        <v>1.2</v>
      </c>
      <c r="S820" s="2">
        <f t="shared" si="192"/>
        <v>4.45</v>
      </c>
      <c r="T820" s="2"/>
      <c r="U820" s="2"/>
      <c r="Y820" s="8">
        <f t="shared" si="193"/>
        <v>2.8479516304347832</v>
      </c>
    </row>
    <row r="821" spans="1:25" x14ac:dyDescent="0.25">
      <c r="A821" s="34">
        <f t="shared" si="204"/>
        <v>813</v>
      </c>
      <c r="B821" s="35" t="e">
        <f t="shared" si="204"/>
        <v>#REF!</v>
      </c>
      <c r="C821" s="40" t="s">
        <v>235</v>
      </c>
      <c r="D821" s="35">
        <v>5</v>
      </c>
      <c r="E821" s="35"/>
      <c r="F821" s="36">
        <f>130538/1000000</f>
        <v>0.13053799999999999</v>
      </c>
      <c r="G821" s="36">
        <f t="shared" si="205"/>
        <v>2.5715986E-2</v>
      </c>
      <c r="H821" s="36">
        <f>61088/1000000</f>
        <v>6.1088000000000003E-2</v>
      </c>
      <c r="I821" s="37">
        <f t="shared" si="206"/>
        <v>9.1631999999999998E-3</v>
      </c>
      <c r="J821" s="32">
        <f t="shared" si="191"/>
        <v>0.13592080000000001</v>
      </c>
      <c r="K821" s="33">
        <f t="shared" si="196"/>
        <v>2.0388119999999999E-2</v>
      </c>
      <c r="L821" s="24" t="s">
        <v>16</v>
      </c>
      <c r="O821" s="2">
        <f t="shared" si="197"/>
        <v>2.5453333333333335E-2</v>
      </c>
      <c r="P821" s="2">
        <f t="shared" si="198"/>
        <v>18.326400000000003</v>
      </c>
      <c r="Q821" s="7">
        <f t="shared" si="199"/>
        <v>83.000000000000014</v>
      </c>
      <c r="R821" s="2">
        <v>1.2</v>
      </c>
      <c r="S821" s="2">
        <f t="shared" si="192"/>
        <v>4.45</v>
      </c>
      <c r="T821" s="2"/>
      <c r="U821" s="2"/>
      <c r="Y821" s="8">
        <f t="shared" si="193"/>
        <v>2.9548000000000001</v>
      </c>
    </row>
    <row r="822" spans="1:25" x14ac:dyDescent="0.25">
      <c r="A822" s="34">
        <f t="shared" si="204"/>
        <v>814</v>
      </c>
      <c r="B822" s="35" t="e">
        <f t="shared" si="204"/>
        <v>#REF!</v>
      </c>
      <c r="C822" s="40" t="s">
        <v>235</v>
      </c>
      <c r="D822" s="35">
        <v>6</v>
      </c>
      <c r="E822" s="35"/>
      <c r="F822" s="36">
        <f>133683/1000000</f>
        <v>0.133683</v>
      </c>
      <c r="G822" s="36">
        <f t="shared" si="205"/>
        <v>2.6335550999999999E-2</v>
      </c>
      <c r="H822" s="36">
        <f>52258/1000000</f>
        <v>5.2257999999999999E-2</v>
      </c>
      <c r="I822" s="37">
        <f t="shared" si="206"/>
        <v>7.8386999999999988E-3</v>
      </c>
      <c r="J822" s="32">
        <f t="shared" si="191"/>
        <v>0.11627405</v>
      </c>
      <c r="K822" s="33">
        <f t="shared" si="196"/>
        <v>1.7441107500000001E-2</v>
      </c>
      <c r="L822" s="24" t="s">
        <v>16</v>
      </c>
      <c r="O822" s="2">
        <f t="shared" si="197"/>
        <v>2.1774166666666667E-2</v>
      </c>
      <c r="P822" s="2">
        <f t="shared" si="198"/>
        <v>15.677400000000002</v>
      </c>
      <c r="Q822" s="7">
        <f t="shared" si="199"/>
        <v>71.002717391304358</v>
      </c>
      <c r="R822" s="2">
        <v>1.2</v>
      </c>
      <c r="S822" s="2">
        <f t="shared" si="192"/>
        <v>4.45</v>
      </c>
      <c r="T822" s="2"/>
      <c r="U822" s="2"/>
      <c r="Y822" s="8">
        <f t="shared" si="193"/>
        <v>2.5276967391304348</v>
      </c>
    </row>
    <row r="823" spans="1:25" x14ac:dyDescent="0.25">
      <c r="A823" s="34">
        <f t="shared" si="204"/>
        <v>815</v>
      </c>
      <c r="B823" s="35" t="e">
        <f t="shared" si="204"/>
        <v>#REF!</v>
      </c>
      <c r="C823" s="40" t="s">
        <v>235</v>
      </c>
      <c r="D823" s="35" t="s">
        <v>27</v>
      </c>
      <c r="E823" s="35"/>
      <c r="F823" s="36">
        <f>143703/1000000</f>
        <v>0.143703</v>
      </c>
      <c r="G823" s="36">
        <f t="shared" si="205"/>
        <v>2.8309490999999999E-2</v>
      </c>
      <c r="H823" s="36">
        <f>51521/1000000</f>
        <v>5.1520999999999997E-2</v>
      </c>
      <c r="I823" s="37">
        <f t="shared" si="206"/>
        <v>7.7281499999999996E-3</v>
      </c>
      <c r="J823" s="32">
        <f t="shared" si="191"/>
        <v>0.11463422500000002</v>
      </c>
      <c r="K823" s="33">
        <f t="shared" si="196"/>
        <v>1.7195133750000001E-2</v>
      </c>
      <c r="L823" s="24" t="s">
        <v>16</v>
      </c>
      <c r="O823" s="2">
        <f t="shared" si="197"/>
        <v>2.1467083333333335E-2</v>
      </c>
      <c r="P823" s="2">
        <f t="shared" si="198"/>
        <v>15.456300000000002</v>
      </c>
      <c r="Q823" s="7">
        <f t="shared" si="199"/>
        <v>70.001358695652186</v>
      </c>
      <c r="R823" s="2">
        <v>1.2</v>
      </c>
      <c r="S823" s="2">
        <f t="shared" si="192"/>
        <v>4.45</v>
      </c>
      <c r="T823" s="2"/>
      <c r="U823" s="2"/>
      <c r="Y823" s="8">
        <f t="shared" si="193"/>
        <v>2.492048369565218</v>
      </c>
    </row>
    <row r="824" spans="1:25" x14ac:dyDescent="0.25">
      <c r="A824" s="34">
        <f t="shared" si="204"/>
        <v>816</v>
      </c>
      <c r="B824" s="35" t="e">
        <f t="shared" si="204"/>
        <v>#REF!</v>
      </c>
      <c r="C824" s="40" t="s">
        <v>235</v>
      </c>
      <c r="D824" s="35" t="s">
        <v>28</v>
      </c>
      <c r="E824" s="35"/>
      <c r="F824" s="36">
        <f>143703/1000000</f>
        <v>0.143703</v>
      </c>
      <c r="G824" s="36">
        <f t="shared" si="205"/>
        <v>2.8309490999999999E-2</v>
      </c>
      <c r="H824" s="36">
        <f>51521/1000000</f>
        <v>5.1520999999999997E-2</v>
      </c>
      <c r="I824" s="37">
        <f t="shared" si="206"/>
        <v>7.7281499999999996E-3</v>
      </c>
      <c r="J824" s="32">
        <f t="shared" si="191"/>
        <v>0.11463422500000002</v>
      </c>
      <c r="K824" s="33">
        <f t="shared" si="196"/>
        <v>1.7195133750000001E-2</v>
      </c>
      <c r="L824" s="24" t="s">
        <v>16</v>
      </c>
      <c r="O824" s="2">
        <f t="shared" si="197"/>
        <v>2.1467083333333335E-2</v>
      </c>
      <c r="P824" s="2">
        <f t="shared" si="198"/>
        <v>15.456300000000002</v>
      </c>
      <c r="Q824" s="7">
        <f t="shared" si="199"/>
        <v>70.001358695652186</v>
      </c>
      <c r="R824" s="2">
        <v>1.2</v>
      </c>
      <c r="S824" s="2">
        <f t="shared" si="192"/>
        <v>4.45</v>
      </c>
      <c r="T824" s="2"/>
      <c r="U824" s="2"/>
      <c r="Y824" s="8">
        <f t="shared" si="193"/>
        <v>2.492048369565218</v>
      </c>
    </row>
    <row r="825" spans="1:25" x14ac:dyDescent="0.25">
      <c r="A825" s="34">
        <f t="shared" si="204"/>
        <v>817</v>
      </c>
      <c r="B825" s="35" t="e">
        <f t="shared" si="204"/>
        <v>#REF!</v>
      </c>
      <c r="C825" s="40" t="s">
        <v>235</v>
      </c>
      <c r="D825" s="35">
        <v>7</v>
      </c>
      <c r="E825" s="35"/>
      <c r="F825" s="36">
        <f>149074/1000000</f>
        <v>0.14907400000000001</v>
      </c>
      <c r="G825" s="36">
        <f t="shared" si="205"/>
        <v>2.9367578000000005E-2</v>
      </c>
      <c r="H825" s="36">
        <f>70656/1000000</f>
        <v>7.0655999999999997E-2</v>
      </c>
      <c r="I825" s="37">
        <f t="shared" si="206"/>
        <v>1.0598399999999999E-2</v>
      </c>
      <c r="J825" s="32">
        <f t="shared" si="191"/>
        <v>0.1572096</v>
      </c>
      <c r="K825" s="33">
        <f t="shared" si="196"/>
        <v>2.3581439999999999E-2</v>
      </c>
      <c r="L825" s="33"/>
      <c r="O825" s="2">
        <f t="shared" si="197"/>
        <v>2.9440000000000001E-2</v>
      </c>
      <c r="P825" s="2">
        <f t="shared" si="198"/>
        <v>21.196800000000003</v>
      </c>
      <c r="Q825" s="7">
        <f t="shared" si="199"/>
        <v>96.000000000000014</v>
      </c>
      <c r="R825" s="2">
        <v>1.2</v>
      </c>
      <c r="S825" s="2">
        <f t="shared" si="192"/>
        <v>4.45</v>
      </c>
      <c r="T825" s="2"/>
      <c r="U825" s="2"/>
      <c r="Y825" s="8">
        <f t="shared" si="193"/>
        <v>3.4176000000000002</v>
      </c>
    </row>
    <row r="826" spans="1:25" x14ac:dyDescent="0.25">
      <c r="A826" s="34">
        <f t="shared" si="204"/>
        <v>818</v>
      </c>
      <c r="B826" s="35" t="e">
        <f t="shared" si="204"/>
        <v>#REF!</v>
      </c>
      <c r="C826" s="40" t="s">
        <v>235</v>
      </c>
      <c r="D826" s="35" t="s">
        <v>85</v>
      </c>
      <c r="E826" s="35"/>
      <c r="F826" s="36">
        <f>149940/1000000</f>
        <v>0.14993999999999999</v>
      </c>
      <c r="G826" s="36">
        <f t="shared" si="205"/>
        <v>2.9538180000000001E-2</v>
      </c>
      <c r="H826" s="36">
        <f>74338/1000000</f>
        <v>7.4338000000000001E-2</v>
      </c>
      <c r="I826" s="37">
        <f t="shared" si="206"/>
        <v>1.11507E-2</v>
      </c>
      <c r="J826" s="32">
        <f t="shared" si="191"/>
        <v>0.16540205000000002</v>
      </c>
      <c r="K826" s="33">
        <f t="shared" si="196"/>
        <v>2.4810307500000003E-2</v>
      </c>
      <c r="L826" s="33"/>
      <c r="O826" s="2">
        <f t="shared" si="197"/>
        <v>3.0974166666666667E-2</v>
      </c>
      <c r="P826" s="2">
        <f t="shared" si="198"/>
        <v>22.301400000000001</v>
      </c>
      <c r="Q826" s="7">
        <f t="shared" si="199"/>
        <v>101.00271739130436</v>
      </c>
      <c r="R826" s="2">
        <v>1.2</v>
      </c>
      <c r="S826" s="2">
        <f t="shared" si="192"/>
        <v>4.45</v>
      </c>
      <c r="T826" s="2"/>
      <c r="U826" s="2"/>
      <c r="Y826" s="8">
        <f t="shared" si="193"/>
        <v>3.5956967391304353</v>
      </c>
    </row>
    <row r="827" spans="1:25" x14ac:dyDescent="0.25">
      <c r="A827" s="34">
        <f t="shared" si="204"/>
        <v>819</v>
      </c>
      <c r="B827" s="35" t="e">
        <f t="shared" si="204"/>
        <v>#REF!</v>
      </c>
      <c r="C827" s="40" t="s">
        <v>235</v>
      </c>
      <c r="D827" s="41" t="s">
        <v>237</v>
      </c>
      <c r="E827" s="35">
        <v>1</v>
      </c>
      <c r="F827" s="36">
        <f>586810/1000000/2</f>
        <v>0.29340500000000003</v>
      </c>
      <c r="G827" s="36">
        <f t="shared" si="205"/>
        <v>5.7800785000000007E-2</v>
      </c>
      <c r="H827" s="36">
        <v>8.5900000000000004E-2</v>
      </c>
      <c r="I827" s="37">
        <v>1.29E-2</v>
      </c>
      <c r="J827" s="32">
        <f t="shared" si="191"/>
        <v>0.19112750000000006</v>
      </c>
      <c r="K827" s="33">
        <f t="shared" si="196"/>
        <v>2.8669125000000007E-2</v>
      </c>
      <c r="L827" s="33"/>
      <c r="O827" s="2">
        <f t="shared" si="197"/>
        <v>3.5791666666666673E-2</v>
      </c>
      <c r="P827" s="2">
        <f t="shared" si="198"/>
        <v>25.770000000000007</v>
      </c>
      <c r="Q827" s="7">
        <f t="shared" si="199"/>
        <v>116.71195652173917</v>
      </c>
      <c r="R827" s="2">
        <v>1.2</v>
      </c>
      <c r="S827" s="2">
        <f t="shared" si="192"/>
        <v>4.45</v>
      </c>
      <c r="T827" s="2"/>
      <c r="U827" s="2"/>
      <c r="Y827" s="8">
        <f t="shared" si="193"/>
        <v>4.1549456521739137</v>
      </c>
    </row>
    <row r="828" spans="1:25" x14ac:dyDescent="0.25">
      <c r="A828" s="34">
        <f t="shared" ref="A828:B843" si="207">A827+1</f>
        <v>820</v>
      </c>
      <c r="B828" s="35" t="e">
        <f t="shared" si="207"/>
        <v>#REF!</v>
      </c>
      <c r="C828" s="40" t="s">
        <v>235</v>
      </c>
      <c r="D828" s="41" t="s">
        <v>237</v>
      </c>
      <c r="E828" s="35">
        <v>2</v>
      </c>
      <c r="F828" s="36">
        <f>586810/1000000/2</f>
        <v>0.29340500000000003</v>
      </c>
      <c r="G828" s="36">
        <f t="shared" si="205"/>
        <v>5.7800785000000007E-2</v>
      </c>
      <c r="H828" s="36">
        <v>8.5900000000000004E-2</v>
      </c>
      <c r="I828" s="37">
        <v>1.29E-2</v>
      </c>
      <c r="J828" s="32">
        <f t="shared" si="191"/>
        <v>0.19112750000000006</v>
      </c>
      <c r="K828" s="33">
        <f t="shared" si="196"/>
        <v>2.8669125000000007E-2</v>
      </c>
      <c r="L828" s="33"/>
      <c r="O828" s="2">
        <f t="shared" si="197"/>
        <v>3.5791666666666673E-2</v>
      </c>
      <c r="P828" s="2">
        <f t="shared" si="198"/>
        <v>25.770000000000007</v>
      </c>
      <c r="Q828" s="7">
        <f t="shared" si="199"/>
        <v>116.71195652173917</v>
      </c>
      <c r="R828" s="2">
        <v>1.2</v>
      </c>
      <c r="S828" s="2">
        <f t="shared" si="192"/>
        <v>4.45</v>
      </c>
      <c r="T828" s="2"/>
      <c r="U828" s="2"/>
      <c r="Y828" s="8">
        <f t="shared" si="193"/>
        <v>4.1549456521739137</v>
      </c>
    </row>
    <row r="829" spans="1:25" x14ac:dyDescent="0.25">
      <c r="A829" s="34">
        <f t="shared" si="207"/>
        <v>821</v>
      </c>
      <c r="B829" s="35" t="e">
        <f t="shared" si="207"/>
        <v>#REF!</v>
      </c>
      <c r="C829" s="40" t="s">
        <v>238</v>
      </c>
      <c r="D829" s="41" t="s">
        <v>95</v>
      </c>
      <c r="E829" s="35"/>
      <c r="F829" s="36">
        <f>142772/1000000</f>
        <v>0.14277200000000001</v>
      </c>
      <c r="G829" s="36">
        <f>F829*0.197</f>
        <v>2.8126084000000003E-2</v>
      </c>
      <c r="H829" s="36">
        <f>68448/1000000</f>
        <v>6.8447999999999995E-2</v>
      </c>
      <c r="I829" s="37">
        <f>H829*0.15</f>
        <v>1.0267199999999999E-2</v>
      </c>
      <c r="J829" s="32">
        <f t="shared" si="191"/>
        <v>0.15229679999999998</v>
      </c>
      <c r="K829" s="33">
        <f t="shared" si="196"/>
        <v>2.2844519999999997E-2</v>
      </c>
      <c r="L829" s="33"/>
      <c r="O829" s="2">
        <f t="shared" si="197"/>
        <v>2.852E-2</v>
      </c>
      <c r="P829" s="2">
        <f t="shared" si="198"/>
        <v>20.534399999999998</v>
      </c>
      <c r="Q829" s="7">
        <f t="shared" si="199"/>
        <v>92.999999999999986</v>
      </c>
      <c r="R829" s="2">
        <v>1.2</v>
      </c>
      <c r="S829" s="2">
        <f t="shared" si="192"/>
        <v>4.45</v>
      </c>
      <c r="T829" s="2"/>
      <c r="U829" s="2"/>
      <c r="Y829" s="8">
        <f t="shared" si="193"/>
        <v>3.3107999999999995</v>
      </c>
    </row>
    <row r="830" spans="1:25" x14ac:dyDescent="0.25">
      <c r="A830" s="34">
        <f t="shared" si="207"/>
        <v>822</v>
      </c>
      <c r="B830" s="35" t="e">
        <f t="shared" si="207"/>
        <v>#REF!</v>
      </c>
      <c r="C830" s="40" t="s">
        <v>238</v>
      </c>
      <c r="D830" s="41" t="s">
        <v>98</v>
      </c>
      <c r="E830" s="35"/>
      <c r="F830" s="36">
        <v>0.12280000000000001</v>
      </c>
      <c r="G830" s="36">
        <v>2.4199999999999999E-2</v>
      </c>
      <c r="H830" s="36">
        <v>4.3499999999999997E-2</v>
      </c>
      <c r="I830" s="37">
        <v>6.4999999999999997E-3</v>
      </c>
      <c r="J830" s="32">
        <f t="shared" si="191"/>
        <v>9.6787499999999999E-2</v>
      </c>
      <c r="K830" s="33">
        <f t="shared" si="196"/>
        <v>1.4518125E-2</v>
      </c>
      <c r="L830" s="33"/>
      <c r="O830" s="2">
        <f t="shared" si="197"/>
        <v>1.8124999999999999E-2</v>
      </c>
      <c r="P830" s="2">
        <f t="shared" si="198"/>
        <v>13.049999999999999</v>
      </c>
      <c r="Q830" s="7">
        <f t="shared" si="199"/>
        <v>59.103260869565212</v>
      </c>
      <c r="R830" s="2">
        <v>1.2</v>
      </c>
      <c r="S830" s="2">
        <f t="shared" si="192"/>
        <v>4.45</v>
      </c>
      <c r="T830" s="2"/>
      <c r="U830" s="2"/>
      <c r="Y830" s="8">
        <f t="shared" si="193"/>
        <v>2.1040760869565216</v>
      </c>
    </row>
    <row r="831" spans="1:25" x14ac:dyDescent="0.25">
      <c r="A831" s="34">
        <f t="shared" si="207"/>
        <v>823</v>
      </c>
      <c r="B831" s="35" t="e">
        <f t="shared" si="207"/>
        <v>#REF!</v>
      </c>
      <c r="C831" s="40" t="s">
        <v>238</v>
      </c>
      <c r="D831" s="41" t="s">
        <v>99</v>
      </c>
      <c r="E831" s="35"/>
      <c r="F831" s="36">
        <f>101548/1000000</f>
        <v>0.101548</v>
      </c>
      <c r="G831" s="36">
        <f>F831*0.197</f>
        <v>2.0004956000000001E-2</v>
      </c>
      <c r="H831" s="36">
        <f>41954/1000000</f>
        <v>4.1953999999999998E-2</v>
      </c>
      <c r="I831" s="37">
        <f>H831*0.15</f>
        <v>6.2930999999999994E-3</v>
      </c>
      <c r="J831" s="32">
        <f t="shared" si="191"/>
        <v>9.3347650000000004E-2</v>
      </c>
      <c r="K831" s="33">
        <f t="shared" si="196"/>
        <v>1.4002147500000001E-2</v>
      </c>
      <c r="L831" s="33"/>
      <c r="O831" s="2">
        <f t="shared" si="197"/>
        <v>1.7480833333333334E-2</v>
      </c>
      <c r="P831" s="2">
        <f t="shared" si="198"/>
        <v>12.586200000000002</v>
      </c>
      <c r="Q831" s="7">
        <f t="shared" si="199"/>
        <v>57.002717391304358</v>
      </c>
      <c r="R831" s="2">
        <v>1.2</v>
      </c>
      <c r="S831" s="2">
        <f t="shared" si="192"/>
        <v>4.45</v>
      </c>
      <c r="T831" s="2"/>
      <c r="U831" s="2"/>
      <c r="Y831" s="8">
        <f t="shared" si="193"/>
        <v>2.0292967391304346</v>
      </c>
    </row>
    <row r="832" spans="1:25" x14ac:dyDescent="0.25">
      <c r="A832" s="34">
        <f t="shared" si="207"/>
        <v>824</v>
      </c>
      <c r="B832" s="35" t="e">
        <f t="shared" si="207"/>
        <v>#REF!</v>
      </c>
      <c r="C832" s="40" t="s">
        <v>238</v>
      </c>
      <c r="D832" s="41" t="s">
        <v>239</v>
      </c>
      <c r="E832" s="35"/>
      <c r="F832" s="36">
        <f>101794/1000000</f>
        <v>0.101794</v>
      </c>
      <c r="G832" s="36">
        <f>F832*0.197</f>
        <v>2.0053418E-2</v>
      </c>
      <c r="H832" s="36">
        <f>37536/1000000</f>
        <v>3.7536E-2</v>
      </c>
      <c r="I832" s="37">
        <f>H832*0.15</f>
        <v>5.6303999999999998E-3</v>
      </c>
      <c r="J832" s="32">
        <f t="shared" si="191"/>
        <v>8.3517599999999997E-2</v>
      </c>
      <c r="K832" s="33">
        <f t="shared" si="196"/>
        <v>1.252764E-2</v>
      </c>
      <c r="L832" s="33"/>
      <c r="O832" s="2">
        <f t="shared" si="197"/>
        <v>1.5640000000000001E-2</v>
      </c>
      <c r="P832" s="2">
        <f t="shared" si="198"/>
        <v>11.260800000000001</v>
      </c>
      <c r="Q832" s="7">
        <f t="shared" si="199"/>
        <v>51.000000000000007</v>
      </c>
      <c r="R832" s="2">
        <v>1.2</v>
      </c>
      <c r="S832" s="2">
        <f t="shared" si="192"/>
        <v>4.45</v>
      </c>
      <c r="T832" s="2"/>
      <c r="U832" s="2"/>
      <c r="Y832" s="8">
        <f t="shared" si="193"/>
        <v>1.8155999999999999</v>
      </c>
    </row>
    <row r="833" spans="1:25" x14ac:dyDescent="0.25">
      <c r="A833" s="34">
        <f t="shared" si="207"/>
        <v>825</v>
      </c>
      <c r="B833" s="35" t="e">
        <f t="shared" si="207"/>
        <v>#REF!</v>
      </c>
      <c r="C833" s="40" t="s">
        <v>240</v>
      </c>
      <c r="D833" s="41" t="s">
        <v>241</v>
      </c>
      <c r="E833" s="35"/>
      <c r="F833" s="36">
        <v>0.24410000000000001</v>
      </c>
      <c r="G833" s="36">
        <v>4.8099999999999997E-2</v>
      </c>
      <c r="H833" s="36">
        <v>0.1089</v>
      </c>
      <c r="I833" s="37">
        <v>1.6299999999999999E-2</v>
      </c>
      <c r="J833" s="32">
        <f t="shared" si="191"/>
        <v>0.2423025</v>
      </c>
      <c r="K833" s="33">
        <f t="shared" si="196"/>
        <v>3.6345374999999999E-2</v>
      </c>
      <c r="L833" s="33"/>
      <c r="O833" s="2">
        <f t="shared" si="197"/>
        <v>4.5374999999999999E-2</v>
      </c>
      <c r="P833" s="2">
        <f t="shared" si="198"/>
        <v>32.67</v>
      </c>
      <c r="Q833" s="7">
        <f t="shared" si="199"/>
        <v>147.96195652173915</v>
      </c>
      <c r="R833" s="2">
        <v>1.2</v>
      </c>
      <c r="S833" s="2">
        <f t="shared" si="192"/>
        <v>4.45</v>
      </c>
      <c r="T833" s="2"/>
      <c r="U833" s="2"/>
      <c r="Y833" s="8">
        <f t="shared" si="193"/>
        <v>5.2674456521739126</v>
      </c>
    </row>
    <row r="834" spans="1:25" x14ac:dyDescent="0.25">
      <c r="A834" s="34">
        <f t="shared" si="207"/>
        <v>826</v>
      </c>
      <c r="B834" s="35" t="e">
        <f t="shared" si="207"/>
        <v>#REF!</v>
      </c>
      <c r="C834" s="40" t="s">
        <v>240</v>
      </c>
      <c r="D834" s="41" t="s">
        <v>28</v>
      </c>
      <c r="E834" s="35"/>
      <c r="F834" s="36">
        <f>136948/1000000</f>
        <v>0.13694799999999999</v>
      </c>
      <c r="G834" s="36">
        <f t="shared" ref="G834:G850" si="208">F834*0.197</f>
        <v>2.6978756E-2</v>
      </c>
      <c r="H834" s="36">
        <f>52994/1000000</f>
        <v>5.2993999999999999E-2</v>
      </c>
      <c r="I834" s="37">
        <f t="shared" ref="I834:I850" si="209">H834*0.15</f>
        <v>7.9490999999999989E-3</v>
      </c>
      <c r="J834" s="32">
        <f t="shared" si="191"/>
        <v>0.11791165000000001</v>
      </c>
      <c r="K834" s="33">
        <f t="shared" si="196"/>
        <v>1.7686747499999999E-2</v>
      </c>
      <c r="L834" s="33"/>
      <c r="O834" s="2">
        <f t="shared" si="197"/>
        <v>2.2080833333333334E-2</v>
      </c>
      <c r="P834" s="2">
        <f t="shared" si="198"/>
        <v>15.898200000000003</v>
      </c>
      <c r="Q834" s="7">
        <f t="shared" si="199"/>
        <v>72.002717391304358</v>
      </c>
      <c r="R834" s="2">
        <v>1.2</v>
      </c>
      <c r="S834" s="2">
        <f t="shared" si="192"/>
        <v>4.45</v>
      </c>
      <c r="T834" s="2"/>
      <c r="U834" s="2"/>
      <c r="Y834" s="8">
        <f t="shared" si="193"/>
        <v>2.5632967391304349</v>
      </c>
    </row>
    <row r="835" spans="1:25" x14ac:dyDescent="0.25">
      <c r="A835" s="34">
        <f t="shared" si="207"/>
        <v>827</v>
      </c>
      <c r="B835" s="35" t="e">
        <f t="shared" si="207"/>
        <v>#REF!</v>
      </c>
      <c r="C835" s="40" t="s">
        <v>240</v>
      </c>
      <c r="D835" s="41" t="s">
        <v>242</v>
      </c>
      <c r="E835" s="35">
        <v>1</v>
      </c>
      <c r="F835" s="36">
        <f>148106/1000000</f>
        <v>0.14810599999999999</v>
      </c>
      <c r="G835" s="36">
        <f t="shared" si="208"/>
        <v>2.9176881999999998E-2</v>
      </c>
      <c r="H835" s="36">
        <f>151618/2/1000000</f>
        <v>7.5809000000000001E-2</v>
      </c>
      <c r="I835" s="37">
        <f t="shared" si="209"/>
        <v>1.1371350000000001E-2</v>
      </c>
      <c r="J835" s="32">
        <f t="shared" si="191"/>
        <v>0.16867502500000001</v>
      </c>
      <c r="K835" s="33">
        <f t="shared" si="196"/>
        <v>2.5301253749999999E-2</v>
      </c>
      <c r="L835" s="33"/>
      <c r="O835" s="2">
        <f t="shared" si="197"/>
        <v>3.1587083333333335E-2</v>
      </c>
      <c r="P835" s="2">
        <f t="shared" si="198"/>
        <v>22.742700000000003</v>
      </c>
      <c r="Q835" s="7">
        <f t="shared" si="199"/>
        <v>103.00135869565219</v>
      </c>
      <c r="R835" s="2">
        <v>1.2</v>
      </c>
      <c r="S835" s="2">
        <f t="shared" si="192"/>
        <v>4.45</v>
      </c>
      <c r="T835" s="2"/>
      <c r="U835" s="2"/>
      <c r="Y835" s="8">
        <f t="shared" si="193"/>
        <v>3.6668483695652179</v>
      </c>
    </row>
    <row r="836" spans="1:25" x14ac:dyDescent="0.25">
      <c r="A836" s="34">
        <f t="shared" si="207"/>
        <v>828</v>
      </c>
      <c r="B836" s="35" t="e">
        <f t="shared" si="207"/>
        <v>#REF!</v>
      </c>
      <c r="C836" s="40" t="s">
        <v>240</v>
      </c>
      <c r="D836" s="41" t="s">
        <v>242</v>
      </c>
      <c r="E836" s="35">
        <v>2</v>
      </c>
      <c r="F836" s="36">
        <f>148106/1000000</f>
        <v>0.14810599999999999</v>
      </c>
      <c r="G836" s="36">
        <f t="shared" si="208"/>
        <v>2.9176881999999998E-2</v>
      </c>
      <c r="H836" s="36">
        <f>151618/2/1000000</f>
        <v>7.5809000000000001E-2</v>
      </c>
      <c r="I836" s="37">
        <f t="shared" si="209"/>
        <v>1.1371350000000001E-2</v>
      </c>
      <c r="J836" s="32">
        <f t="shared" si="191"/>
        <v>0.16867502500000001</v>
      </c>
      <c r="K836" s="33">
        <f t="shared" si="196"/>
        <v>2.5301253749999999E-2</v>
      </c>
      <c r="L836" s="33"/>
      <c r="O836" s="2">
        <f t="shared" si="197"/>
        <v>3.1587083333333335E-2</v>
      </c>
      <c r="P836" s="2">
        <f t="shared" si="198"/>
        <v>22.742700000000003</v>
      </c>
      <c r="Q836" s="7">
        <f t="shared" si="199"/>
        <v>103.00135869565219</v>
      </c>
      <c r="R836" s="2">
        <v>1.2</v>
      </c>
      <c r="S836" s="2">
        <f t="shared" si="192"/>
        <v>4.45</v>
      </c>
      <c r="T836" s="2"/>
      <c r="U836" s="2"/>
      <c r="Y836" s="8">
        <f t="shared" si="193"/>
        <v>3.6668483695652179</v>
      </c>
    </row>
    <row r="837" spans="1:25" x14ac:dyDescent="0.25">
      <c r="A837" s="34">
        <f t="shared" si="207"/>
        <v>829</v>
      </c>
      <c r="B837" s="35" t="e">
        <f t="shared" si="207"/>
        <v>#REF!</v>
      </c>
      <c r="C837" s="40" t="s">
        <v>240</v>
      </c>
      <c r="D837" s="41" t="s">
        <v>51</v>
      </c>
      <c r="E837" s="35"/>
      <c r="F837" s="36">
        <f>82077/1000000</f>
        <v>8.2076999999999997E-2</v>
      </c>
      <c r="G837" s="36">
        <f t="shared" si="208"/>
        <v>1.6169169000000001E-2</v>
      </c>
      <c r="H837" s="36">
        <v>0</v>
      </c>
      <c r="I837" s="37">
        <f t="shared" si="209"/>
        <v>0</v>
      </c>
      <c r="J837" s="32">
        <f t="shared" si="191"/>
        <v>0</v>
      </c>
      <c r="K837" s="33">
        <f t="shared" si="196"/>
        <v>0</v>
      </c>
      <c r="L837" s="33"/>
      <c r="O837" s="2">
        <f t="shared" si="197"/>
        <v>0</v>
      </c>
      <c r="P837" s="2">
        <f t="shared" si="198"/>
        <v>0</v>
      </c>
      <c r="Q837" s="7">
        <f t="shared" si="199"/>
        <v>0</v>
      </c>
      <c r="R837" s="2">
        <v>1.2</v>
      </c>
      <c r="S837" s="2">
        <f t="shared" si="192"/>
        <v>4.45</v>
      </c>
      <c r="T837" s="2"/>
      <c r="U837" s="2"/>
      <c r="Y837" s="8">
        <f t="shared" si="193"/>
        <v>0</v>
      </c>
    </row>
    <row r="838" spans="1:25" x14ac:dyDescent="0.25">
      <c r="A838" s="34">
        <f t="shared" si="207"/>
        <v>830</v>
      </c>
      <c r="B838" s="35" t="e">
        <f t="shared" si="207"/>
        <v>#REF!</v>
      </c>
      <c r="C838" s="40" t="s">
        <v>240</v>
      </c>
      <c r="D838" s="41" t="s">
        <v>88</v>
      </c>
      <c r="E838" s="35"/>
      <c r="F838" s="36">
        <f>91952/1000000</f>
        <v>9.1952000000000006E-2</v>
      </c>
      <c r="G838" s="36">
        <f t="shared" si="208"/>
        <v>1.8114544000000003E-2</v>
      </c>
      <c r="H838" s="36">
        <v>0</v>
      </c>
      <c r="I838" s="37">
        <f t="shared" si="209"/>
        <v>0</v>
      </c>
      <c r="J838" s="32">
        <f t="shared" si="191"/>
        <v>0</v>
      </c>
      <c r="K838" s="33">
        <f t="shared" si="196"/>
        <v>0</v>
      </c>
      <c r="L838" s="33"/>
      <c r="O838" s="2">
        <f t="shared" si="197"/>
        <v>0</v>
      </c>
      <c r="P838" s="2">
        <f t="shared" si="198"/>
        <v>0</v>
      </c>
      <c r="Q838" s="7">
        <f t="shared" si="199"/>
        <v>0</v>
      </c>
      <c r="R838" s="2">
        <v>1.2</v>
      </c>
      <c r="S838" s="2">
        <f t="shared" si="192"/>
        <v>4.45</v>
      </c>
      <c r="T838" s="2"/>
      <c r="U838" s="2"/>
      <c r="Y838" s="8">
        <f t="shared" si="193"/>
        <v>0</v>
      </c>
    </row>
    <row r="839" spans="1:25" x14ac:dyDescent="0.25">
      <c r="A839" s="34">
        <f t="shared" si="207"/>
        <v>831</v>
      </c>
      <c r="B839" s="35" t="e">
        <f t="shared" si="207"/>
        <v>#REF!</v>
      </c>
      <c r="C839" s="40" t="s">
        <v>240</v>
      </c>
      <c r="D839" s="41" t="s">
        <v>56</v>
      </c>
      <c r="E839" s="35"/>
      <c r="F839" s="36">
        <f>91398/1000000</f>
        <v>9.1397999999999993E-2</v>
      </c>
      <c r="G839" s="36">
        <f t="shared" si="208"/>
        <v>1.8005405999999998E-2</v>
      </c>
      <c r="H839" s="36">
        <f>63298/1000000</f>
        <v>6.3297999999999993E-2</v>
      </c>
      <c r="I839" s="37">
        <f t="shared" si="209"/>
        <v>9.4946999999999983E-3</v>
      </c>
      <c r="J839" s="32">
        <f t="shared" si="191"/>
        <v>0.14083804999999999</v>
      </c>
      <c r="K839" s="33">
        <f t="shared" si="196"/>
        <v>2.1125707499999997E-2</v>
      </c>
      <c r="L839" s="33"/>
      <c r="O839" s="2">
        <f t="shared" si="197"/>
        <v>2.6374166666666664E-2</v>
      </c>
      <c r="P839" s="2">
        <f t="shared" si="198"/>
        <v>18.989399999999996</v>
      </c>
      <c r="Q839" s="7">
        <f t="shared" si="199"/>
        <v>86.00271739130433</v>
      </c>
      <c r="R839" s="2">
        <v>1.2</v>
      </c>
      <c r="S839" s="2">
        <f t="shared" si="192"/>
        <v>4.45</v>
      </c>
      <c r="T839" s="2"/>
      <c r="U839" s="2"/>
      <c r="Y839" s="8">
        <f t="shared" si="193"/>
        <v>3.0616967391304346</v>
      </c>
    </row>
    <row r="840" spans="1:25" x14ac:dyDescent="0.25">
      <c r="A840" s="34">
        <f t="shared" si="207"/>
        <v>832</v>
      </c>
      <c r="B840" s="35" t="e">
        <f t="shared" si="207"/>
        <v>#REF!</v>
      </c>
      <c r="C840" s="40" t="s">
        <v>240</v>
      </c>
      <c r="D840" s="41" t="s">
        <v>57</v>
      </c>
      <c r="E840" s="35"/>
      <c r="F840" s="36">
        <f>89354/1000000</f>
        <v>8.9354000000000003E-2</v>
      </c>
      <c r="G840" s="36">
        <f t="shared" si="208"/>
        <v>1.7602738E-2</v>
      </c>
      <c r="H840" s="36">
        <f>65503/1000000</f>
        <v>6.5503000000000006E-2</v>
      </c>
      <c r="I840" s="37">
        <f t="shared" si="209"/>
        <v>9.8254500000000012E-3</v>
      </c>
      <c r="J840" s="32">
        <f t="shared" si="191"/>
        <v>0.14574417500000003</v>
      </c>
      <c r="K840" s="33">
        <f t="shared" si="196"/>
        <v>2.1861626250000005E-2</v>
      </c>
      <c r="L840" s="33"/>
      <c r="O840" s="2">
        <f t="shared" si="197"/>
        <v>2.729291666666667E-2</v>
      </c>
      <c r="P840" s="2">
        <f t="shared" si="198"/>
        <v>19.650900000000004</v>
      </c>
      <c r="Q840" s="7">
        <f t="shared" si="199"/>
        <v>88.998641304347842</v>
      </c>
      <c r="R840" s="2">
        <v>1.2</v>
      </c>
      <c r="S840" s="2">
        <f t="shared" si="192"/>
        <v>4.45</v>
      </c>
      <c r="T840" s="2"/>
      <c r="U840" s="2"/>
      <c r="Y840" s="8">
        <f t="shared" si="193"/>
        <v>3.168351630434783</v>
      </c>
    </row>
    <row r="841" spans="1:25" x14ac:dyDescent="0.25">
      <c r="A841" s="34">
        <f t="shared" si="207"/>
        <v>833</v>
      </c>
      <c r="B841" s="35" t="e">
        <f t="shared" si="207"/>
        <v>#REF!</v>
      </c>
      <c r="C841" s="40" t="s">
        <v>240</v>
      </c>
      <c r="D841" s="41" t="s">
        <v>94</v>
      </c>
      <c r="E841" s="35"/>
      <c r="F841" s="36">
        <f>116979/1000000</f>
        <v>0.116979</v>
      </c>
      <c r="G841" s="36">
        <f t="shared" si="208"/>
        <v>2.3044863000000002E-2</v>
      </c>
      <c r="H841" s="36">
        <f>54463/1000000</f>
        <v>5.4462999999999998E-2</v>
      </c>
      <c r="I841" s="37">
        <f t="shared" si="209"/>
        <v>8.16945E-3</v>
      </c>
      <c r="J841" s="32">
        <f t="shared" ref="J841:J904" si="210">O841*R841*S841</f>
        <v>0.121180175</v>
      </c>
      <c r="K841" s="33">
        <f t="shared" si="196"/>
        <v>1.8177026249999999E-2</v>
      </c>
      <c r="L841" s="33"/>
      <c r="O841" s="2">
        <f t="shared" si="197"/>
        <v>2.2692916666666667E-2</v>
      </c>
      <c r="P841" s="2">
        <f t="shared" si="198"/>
        <v>16.338899999999999</v>
      </c>
      <c r="Q841" s="7">
        <f t="shared" si="199"/>
        <v>73.998641304347828</v>
      </c>
      <c r="R841" s="2">
        <v>1.2</v>
      </c>
      <c r="S841" s="2">
        <f t="shared" ref="S841:S904" si="211">IF(Q841&lt;=$AE$6,$AF$6,IF(Q841&lt;=$AE$7,$AF$7,IF(Q841&lt;=$AE$8,$AF$8,IF(Q841&lt;=$AE$9,$AF$9,IF(Q841&lt;=$AE$10,$AF$10,0)))))</f>
        <v>4.45</v>
      </c>
      <c r="T841" s="2"/>
      <c r="U841" s="2"/>
      <c r="Y841" s="8">
        <f t="shared" ref="Y841:Y904" si="212">J841/46*1000</f>
        <v>2.6343516304347827</v>
      </c>
    </row>
    <row r="842" spans="1:25" x14ac:dyDescent="0.25">
      <c r="A842" s="34">
        <f t="shared" si="207"/>
        <v>834</v>
      </c>
      <c r="B842" s="35" t="e">
        <f t="shared" si="207"/>
        <v>#REF!</v>
      </c>
      <c r="C842" s="40" t="s">
        <v>240</v>
      </c>
      <c r="D842" s="41" t="s">
        <v>62</v>
      </c>
      <c r="E842" s="35"/>
      <c r="F842" s="36">
        <f>120675/1000000</f>
        <v>0.120675</v>
      </c>
      <c r="G842" s="36">
        <f t="shared" si="208"/>
        <v>2.3772975000000002E-2</v>
      </c>
      <c r="H842" s="36">
        <f>50784/1000000</f>
        <v>5.0784000000000003E-2</v>
      </c>
      <c r="I842" s="37">
        <f t="shared" si="209"/>
        <v>7.6176000000000004E-3</v>
      </c>
      <c r="J842" s="32">
        <f t="shared" si="210"/>
        <v>0.11299440000000001</v>
      </c>
      <c r="K842" s="33">
        <f t="shared" ref="K842:K905" si="213">J842*0.15</f>
        <v>1.6949160000000001E-2</v>
      </c>
      <c r="L842" s="33"/>
      <c r="O842" s="2">
        <f t="shared" si="197"/>
        <v>2.1160000000000002E-2</v>
      </c>
      <c r="P842" s="2">
        <f t="shared" si="198"/>
        <v>15.235200000000003</v>
      </c>
      <c r="Q842" s="7">
        <f t="shared" si="199"/>
        <v>69.000000000000014</v>
      </c>
      <c r="R842" s="2">
        <v>1.2</v>
      </c>
      <c r="S842" s="2">
        <f t="shared" si="211"/>
        <v>4.45</v>
      </c>
      <c r="T842" s="2"/>
      <c r="U842" s="2"/>
      <c r="Y842" s="8">
        <f t="shared" si="212"/>
        <v>2.4563999999999999</v>
      </c>
    </row>
    <row r="843" spans="1:25" x14ac:dyDescent="0.25">
      <c r="A843" s="34">
        <f t="shared" si="207"/>
        <v>835</v>
      </c>
      <c r="B843" s="35" t="e">
        <f t="shared" si="207"/>
        <v>#REF!</v>
      </c>
      <c r="C843" s="40" t="s">
        <v>240</v>
      </c>
      <c r="D843" s="41" t="s">
        <v>96</v>
      </c>
      <c r="E843" s="35"/>
      <c r="F843" s="36">
        <f>146842/1000000</f>
        <v>0.146842</v>
      </c>
      <c r="G843" s="36">
        <f t="shared" si="208"/>
        <v>2.8927874000000003E-2</v>
      </c>
      <c r="H843" s="36">
        <f>60353/1000000</f>
        <v>6.0352999999999997E-2</v>
      </c>
      <c r="I843" s="37">
        <f t="shared" si="209"/>
        <v>9.0529499999999988E-3</v>
      </c>
      <c r="J843" s="32">
        <f t="shared" si="210"/>
        <v>0.13428542499999999</v>
      </c>
      <c r="K843" s="33">
        <f t="shared" si="213"/>
        <v>2.0142813749999999E-2</v>
      </c>
      <c r="L843" s="33"/>
      <c r="O843" s="2">
        <f t="shared" ref="O843:O906" si="214">H843/2.4</f>
        <v>2.5147083333333334E-2</v>
      </c>
      <c r="P843" s="2">
        <f t="shared" ref="P843:P906" si="215">O843*24*30</f>
        <v>18.105900000000002</v>
      </c>
      <c r="Q843" s="7">
        <f t="shared" ref="Q843:Q906" si="216">P843/0.2208</f>
        <v>82.001358695652186</v>
      </c>
      <c r="R843" s="2">
        <v>1.2</v>
      </c>
      <c r="S843" s="2">
        <f t="shared" si="211"/>
        <v>4.45</v>
      </c>
      <c r="T843" s="2"/>
      <c r="U843" s="2"/>
      <c r="Y843" s="8">
        <f t="shared" si="212"/>
        <v>2.9192483695652172</v>
      </c>
    </row>
    <row r="844" spans="1:25" x14ac:dyDescent="0.25">
      <c r="A844" s="34">
        <f t="shared" ref="A844:B859" si="217">A843+1</f>
        <v>836</v>
      </c>
      <c r="B844" s="35" t="e">
        <f t="shared" si="217"/>
        <v>#REF!</v>
      </c>
      <c r="C844" s="40" t="s">
        <v>240</v>
      </c>
      <c r="D844" s="41" t="s">
        <v>34</v>
      </c>
      <c r="E844" s="35"/>
      <c r="F844" s="36">
        <f>112497/1000000</f>
        <v>0.112497</v>
      </c>
      <c r="G844" s="36">
        <f t="shared" si="208"/>
        <v>2.2161909E-2</v>
      </c>
      <c r="H844" s="36">
        <f>58142/1000000</f>
        <v>5.8141999999999999E-2</v>
      </c>
      <c r="I844" s="37">
        <f t="shared" si="209"/>
        <v>8.7212999999999995E-3</v>
      </c>
      <c r="J844" s="32">
        <f t="shared" si="210"/>
        <v>0.12936595000000001</v>
      </c>
      <c r="K844" s="33">
        <f t="shared" si="213"/>
        <v>1.94048925E-2</v>
      </c>
      <c r="L844" s="33"/>
      <c r="O844" s="2">
        <f t="shared" si="214"/>
        <v>2.4225833333333335E-2</v>
      </c>
      <c r="P844" s="2">
        <f t="shared" si="215"/>
        <v>17.442600000000002</v>
      </c>
      <c r="Q844" s="7">
        <f t="shared" si="216"/>
        <v>78.99728260869567</v>
      </c>
      <c r="R844" s="2">
        <v>1.2</v>
      </c>
      <c r="S844" s="2">
        <f t="shared" si="211"/>
        <v>4.45</v>
      </c>
      <c r="T844" s="2"/>
      <c r="U844" s="2"/>
      <c r="Y844" s="8">
        <f t="shared" si="212"/>
        <v>2.8123032608695655</v>
      </c>
    </row>
    <row r="845" spans="1:25" x14ac:dyDescent="0.25">
      <c r="A845" s="34">
        <f t="shared" si="217"/>
        <v>837</v>
      </c>
      <c r="B845" s="35" t="e">
        <f t="shared" si="217"/>
        <v>#REF!</v>
      </c>
      <c r="C845" s="40" t="s">
        <v>240</v>
      </c>
      <c r="D845" s="41" t="s">
        <v>99</v>
      </c>
      <c r="E845" s="35"/>
      <c r="F845" s="36">
        <f>112954/1000000</f>
        <v>0.112954</v>
      </c>
      <c r="G845" s="36">
        <f t="shared" si="208"/>
        <v>2.2251938000000002E-2</v>
      </c>
      <c r="H845" s="36">
        <f>47840/1000000</f>
        <v>4.7840000000000001E-2</v>
      </c>
      <c r="I845" s="37">
        <f t="shared" si="209"/>
        <v>7.1760000000000001E-3</v>
      </c>
      <c r="J845" s="32">
        <f t="shared" si="210"/>
        <v>0.10644400000000001</v>
      </c>
      <c r="K845" s="33">
        <f t="shared" si="213"/>
        <v>1.5966600000000001E-2</v>
      </c>
      <c r="L845" s="33"/>
      <c r="O845" s="2">
        <f t="shared" si="214"/>
        <v>1.9933333333333334E-2</v>
      </c>
      <c r="P845" s="2">
        <f t="shared" si="215"/>
        <v>14.352000000000002</v>
      </c>
      <c r="Q845" s="7">
        <f t="shared" si="216"/>
        <v>65.000000000000014</v>
      </c>
      <c r="R845" s="2">
        <v>1.2</v>
      </c>
      <c r="S845" s="2">
        <f t="shared" si="211"/>
        <v>4.45</v>
      </c>
      <c r="T845" s="2"/>
      <c r="U845" s="2"/>
      <c r="Y845" s="8">
        <f t="shared" si="212"/>
        <v>2.3140000000000001</v>
      </c>
    </row>
    <row r="846" spans="1:25" x14ac:dyDescent="0.25">
      <c r="A846" s="34">
        <f t="shared" si="217"/>
        <v>838</v>
      </c>
      <c r="B846" s="35" t="e">
        <f t="shared" si="217"/>
        <v>#REF!</v>
      </c>
      <c r="C846" s="40" t="s">
        <v>240</v>
      </c>
      <c r="D846" s="41" t="s">
        <v>101</v>
      </c>
      <c r="E846" s="35"/>
      <c r="F846" s="36">
        <f>112984/1000000</f>
        <v>0.112984</v>
      </c>
      <c r="G846" s="36">
        <f t="shared" si="208"/>
        <v>2.2257848E-2</v>
      </c>
      <c r="H846" s="36">
        <f>49313/1000000</f>
        <v>4.9313000000000003E-2</v>
      </c>
      <c r="I846" s="37">
        <f t="shared" si="209"/>
        <v>7.3969500000000002E-3</v>
      </c>
      <c r="J846" s="32">
        <f t="shared" si="210"/>
        <v>0.10972142500000001</v>
      </c>
      <c r="K846" s="33">
        <f t="shared" si="213"/>
        <v>1.6458213750000002E-2</v>
      </c>
      <c r="L846" s="33"/>
      <c r="O846" s="2">
        <f t="shared" si="214"/>
        <v>2.0547083333333334E-2</v>
      </c>
      <c r="P846" s="2">
        <f t="shared" si="215"/>
        <v>14.793900000000001</v>
      </c>
      <c r="Q846" s="7">
        <f t="shared" si="216"/>
        <v>67.001358695652172</v>
      </c>
      <c r="R846" s="2">
        <v>1.2</v>
      </c>
      <c r="S846" s="2">
        <f t="shared" si="211"/>
        <v>4.45</v>
      </c>
      <c r="T846" s="2"/>
      <c r="U846" s="2"/>
      <c r="Y846" s="8">
        <f t="shared" si="212"/>
        <v>2.3852483695652178</v>
      </c>
    </row>
    <row r="847" spans="1:25" x14ac:dyDescent="0.25">
      <c r="A847" s="34">
        <f t="shared" si="217"/>
        <v>839</v>
      </c>
      <c r="B847" s="35" t="e">
        <f t="shared" si="217"/>
        <v>#REF!</v>
      </c>
      <c r="C847" s="40" t="s">
        <v>240</v>
      </c>
      <c r="D847" s="41" t="s">
        <v>120</v>
      </c>
      <c r="E847" s="35"/>
      <c r="F847" s="36">
        <f>112746/1000000</f>
        <v>0.112746</v>
      </c>
      <c r="G847" s="36">
        <f t="shared" si="208"/>
        <v>2.2210962000000001E-2</v>
      </c>
      <c r="H847" s="36">
        <f>47839/1000000</f>
        <v>4.7839E-2</v>
      </c>
      <c r="I847" s="37">
        <f t="shared" si="209"/>
        <v>7.1758499999999992E-3</v>
      </c>
      <c r="J847" s="32">
        <f t="shared" si="210"/>
        <v>0.106441775</v>
      </c>
      <c r="K847" s="33">
        <f t="shared" si="213"/>
        <v>1.596626625E-2</v>
      </c>
      <c r="L847" s="33"/>
      <c r="O847" s="2">
        <f t="shared" si="214"/>
        <v>1.9932916666666668E-2</v>
      </c>
      <c r="P847" s="2">
        <f t="shared" si="215"/>
        <v>14.351700000000001</v>
      </c>
      <c r="Q847" s="7">
        <f t="shared" si="216"/>
        <v>64.998641304347828</v>
      </c>
      <c r="R847" s="2">
        <v>1.2</v>
      </c>
      <c r="S847" s="2">
        <f t="shared" si="211"/>
        <v>4.45</v>
      </c>
      <c r="T847" s="2"/>
      <c r="U847" s="2"/>
      <c r="Y847" s="8">
        <f t="shared" si="212"/>
        <v>2.3139516304347829</v>
      </c>
    </row>
    <row r="848" spans="1:25" x14ac:dyDescent="0.25">
      <c r="A848" s="34">
        <f t="shared" si="217"/>
        <v>840</v>
      </c>
      <c r="B848" s="35" t="e">
        <f t="shared" si="217"/>
        <v>#REF!</v>
      </c>
      <c r="C848" s="40" t="s">
        <v>240</v>
      </c>
      <c r="D848" s="41" t="s">
        <v>64</v>
      </c>
      <c r="E848" s="35"/>
      <c r="F848" s="36">
        <f>147612/1000000</f>
        <v>0.14761199999999999</v>
      </c>
      <c r="G848" s="36">
        <f t="shared" si="208"/>
        <v>2.9079563999999999E-2</v>
      </c>
      <c r="H848" s="36">
        <f>80959/1000000</f>
        <v>8.0959000000000003E-2</v>
      </c>
      <c r="I848" s="37">
        <f t="shared" si="209"/>
        <v>1.2143849999999999E-2</v>
      </c>
      <c r="J848" s="32">
        <f t="shared" si="210"/>
        <v>0.18013377500000002</v>
      </c>
      <c r="K848" s="33">
        <f t="shared" si="213"/>
        <v>2.7020066250000002E-2</v>
      </c>
      <c r="L848" s="33"/>
      <c r="O848" s="2">
        <f t="shared" si="214"/>
        <v>3.3732916666666668E-2</v>
      </c>
      <c r="P848" s="2">
        <f t="shared" si="215"/>
        <v>24.287700000000001</v>
      </c>
      <c r="Q848" s="7">
        <f t="shared" si="216"/>
        <v>109.99864130434783</v>
      </c>
      <c r="R848" s="2">
        <v>1.2</v>
      </c>
      <c r="S848" s="2">
        <f t="shared" si="211"/>
        <v>4.45</v>
      </c>
      <c r="T848" s="2"/>
      <c r="U848" s="2"/>
      <c r="Y848" s="8">
        <f t="shared" si="212"/>
        <v>3.9159516304347832</v>
      </c>
    </row>
    <row r="849" spans="1:25" x14ac:dyDescent="0.25">
      <c r="A849" s="34">
        <f t="shared" si="217"/>
        <v>841</v>
      </c>
      <c r="B849" s="35" t="e">
        <f t="shared" si="217"/>
        <v>#REF!</v>
      </c>
      <c r="C849" s="40" t="s">
        <v>240</v>
      </c>
      <c r="D849" s="35">
        <v>38</v>
      </c>
      <c r="E849" s="35"/>
      <c r="F849" s="36">
        <f>108987/1000000</f>
        <v>0.108987</v>
      </c>
      <c r="G849" s="36">
        <f t="shared" si="208"/>
        <v>2.1470439000000001E-2</v>
      </c>
      <c r="H849" s="36">
        <f>44897/1000000</f>
        <v>4.4896999999999999E-2</v>
      </c>
      <c r="I849" s="37">
        <f t="shared" si="209"/>
        <v>6.7345499999999997E-3</v>
      </c>
      <c r="J849" s="32">
        <f t="shared" si="210"/>
        <v>9.9895825000000008E-2</v>
      </c>
      <c r="K849" s="33">
        <f t="shared" si="213"/>
        <v>1.498437375E-2</v>
      </c>
      <c r="L849" s="33"/>
      <c r="O849" s="2">
        <f t="shared" si="214"/>
        <v>1.8707083333333333E-2</v>
      </c>
      <c r="P849" s="2">
        <f t="shared" si="215"/>
        <v>13.469099999999999</v>
      </c>
      <c r="Q849" s="7">
        <f t="shared" si="216"/>
        <v>61.001358695652172</v>
      </c>
      <c r="R849" s="2">
        <v>1.2</v>
      </c>
      <c r="S849" s="2">
        <f t="shared" si="211"/>
        <v>4.45</v>
      </c>
      <c r="T849" s="2"/>
      <c r="U849" s="2"/>
      <c r="Y849" s="8">
        <f t="shared" si="212"/>
        <v>2.1716483695652173</v>
      </c>
    </row>
    <row r="850" spans="1:25" x14ac:dyDescent="0.25">
      <c r="A850" s="34">
        <f t="shared" si="217"/>
        <v>842</v>
      </c>
      <c r="B850" s="35" t="e">
        <f t="shared" si="217"/>
        <v>#REF!</v>
      </c>
      <c r="C850" s="40" t="s">
        <v>240</v>
      </c>
      <c r="D850" s="35">
        <v>40</v>
      </c>
      <c r="E850" s="35"/>
      <c r="F850" s="36">
        <f>109047/1000000</f>
        <v>0.10904700000000001</v>
      </c>
      <c r="G850" s="36">
        <f t="shared" si="208"/>
        <v>2.1482259000000004E-2</v>
      </c>
      <c r="H850" s="36">
        <f>47102/1000000</f>
        <v>4.7101999999999998E-2</v>
      </c>
      <c r="I850" s="37">
        <f t="shared" si="209"/>
        <v>7.0652999999999992E-3</v>
      </c>
      <c r="J850" s="32">
        <f t="shared" si="210"/>
        <v>0.10480195</v>
      </c>
      <c r="K850" s="33">
        <f t="shared" si="213"/>
        <v>1.57202925E-2</v>
      </c>
      <c r="L850" s="33"/>
      <c r="O850" s="2">
        <f t="shared" si="214"/>
        <v>1.9625833333333332E-2</v>
      </c>
      <c r="P850" s="2">
        <f t="shared" si="215"/>
        <v>14.130599999999999</v>
      </c>
      <c r="Q850" s="7">
        <f t="shared" si="216"/>
        <v>63.997282608695649</v>
      </c>
      <c r="R850" s="2">
        <v>1.2</v>
      </c>
      <c r="S850" s="2">
        <f t="shared" si="211"/>
        <v>4.45</v>
      </c>
      <c r="T850" s="2"/>
      <c r="U850" s="2"/>
      <c r="Y850" s="8">
        <f t="shared" si="212"/>
        <v>2.2783032608695652</v>
      </c>
    </row>
    <row r="851" spans="1:25" x14ac:dyDescent="0.25">
      <c r="A851" s="34">
        <f t="shared" si="217"/>
        <v>843</v>
      </c>
      <c r="B851" s="35" t="e">
        <f t="shared" si="217"/>
        <v>#REF!</v>
      </c>
      <c r="C851" s="40" t="s">
        <v>240</v>
      </c>
      <c r="D851" s="35" t="s">
        <v>243</v>
      </c>
      <c r="E851" s="35"/>
      <c r="F851" s="36">
        <v>0.23100000000000001</v>
      </c>
      <c r="G851" s="36">
        <v>4.5499999999999999E-2</v>
      </c>
      <c r="H851" s="36">
        <v>0.1042</v>
      </c>
      <c r="I851" s="37">
        <v>1.5599999999999999E-2</v>
      </c>
      <c r="J851" s="32">
        <f t="shared" si="210"/>
        <v>0.23184500000000002</v>
      </c>
      <c r="K851" s="33">
        <f t="shared" si="213"/>
        <v>3.4776750000000002E-2</v>
      </c>
      <c r="L851" s="33"/>
      <c r="O851" s="2">
        <f t="shared" si="214"/>
        <v>4.3416666666666666E-2</v>
      </c>
      <c r="P851" s="2">
        <f t="shared" si="215"/>
        <v>31.26</v>
      </c>
      <c r="Q851" s="7">
        <f t="shared" si="216"/>
        <v>141.57608695652175</v>
      </c>
      <c r="R851" s="2">
        <v>1.2</v>
      </c>
      <c r="S851" s="2">
        <f t="shared" si="211"/>
        <v>4.45</v>
      </c>
      <c r="T851" s="2"/>
      <c r="U851" s="2"/>
      <c r="Y851" s="8">
        <f t="shared" si="212"/>
        <v>5.0401086956521741</v>
      </c>
    </row>
    <row r="852" spans="1:25" x14ac:dyDescent="0.25">
      <c r="A852" s="34">
        <f t="shared" si="217"/>
        <v>844</v>
      </c>
      <c r="B852" s="35" t="e">
        <f t="shared" si="217"/>
        <v>#REF!</v>
      </c>
      <c r="C852" s="40" t="s">
        <v>240</v>
      </c>
      <c r="D852" s="35">
        <v>44</v>
      </c>
      <c r="E852" s="35"/>
      <c r="F852" s="36">
        <f>156112/1000000</f>
        <v>0.156112</v>
      </c>
      <c r="G852" s="36">
        <f t="shared" ref="G852:G864" si="218">F852*0.197</f>
        <v>3.0754064000000001E-2</v>
      </c>
      <c r="H852" s="36">
        <f>70656/1000000</f>
        <v>7.0655999999999997E-2</v>
      </c>
      <c r="I852" s="37">
        <f t="shared" ref="I852:I872" si="219">H852*0.15</f>
        <v>1.0598399999999999E-2</v>
      </c>
      <c r="J852" s="32">
        <f t="shared" si="210"/>
        <v>0.1572096</v>
      </c>
      <c r="K852" s="33">
        <f t="shared" si="213"/>
        <v>2.3581439999999999E-2</v>
      </c>
      <c r="L852" s="33"/>
      <c r="O852" s="2">
        <f t="shared" si="214"/>
        <v>2.9440000000000001E-2</v>
      </c>
      <c r="P852" s="2">
        <f t="shared" si="215"/>
        <v>21.196800000000003</v>
      </c>
      <c r="Q852" s="7">
        <f t="shared" si="216"/>
        <v>96.000000000000014</v>
      </c>
      <c r="R852" s="2">
        <v>1.2</v>
      </c>
      <c r="S852" s="2">
        <f t="shared" si="211"/>
        <v>4.45</v>
      </c>
      <c r="T852" s="2"/>
      <c r="U852" s="2"/>
      <c r="Y852" s="8">
        <f t="shared" si="212"/>
        <v>3.4176000000000002</v>
      </c>
    </row>
    <row r="853" spans="1:25" x14ac:dyDescent="0.25">
      <c r="A853" s="34">
        <f t="shared" si="217"/>
        <v>845</v>
      </c>
      <c r="B853" s="35" t="e">
        <f t="shared" si="217"/>
        <v>#REF!</v>
      </c>
      <c r="C853" s="40" t="s">
        <v>240</v>
      </c>
      <c r="D853" s="35">
        <v>46</v>
      </c>
      <c r="E853" s="35"/>
      <c r="F853" s="36">
        <f>146818/1000000</f>
        <v>0.146818</v>
      </c>
      <c r="G853" s="36">
        <f t="shared" si="218"/>
        <v>2.8923146000000004E-2</v>
      </c>
      <c r="H853" s="36">
        <f>75806/1000000</f>
        <v>7.5805999999999998E-2</v>
      </c>
      <c r="I853" s="37">
        <f t="shared" si="219"/>
        <v>1.13709E-2</v>
      </c>
      <c r="J853" s="32">
        <f t="shared" si="210"/>
        <v>0.16866834999999999</v>
      </c>
      <c r="K853" s="33">
        <f t="shared" si="213"/>
        <v>2.5300252499999999E-2</v>
      </c>
      <c r="L853" s="33"/>
      <c r="O853" s="2">
        <f t="shared" si="214"/>
        <v>3.1585833333333334E-2</v>
      </c>
      <c r="P853" s="2">
        <f t="shared" si="215"/>
        <v>22.741799999999998</v>
      </c>
      <c r="Q853" s="7">
        <f t="shared" si="216"/>
        <v>102.99728260869564</v>
      </c>
      <c r="R853" s="2">
        <v>1.2</v>
      </c>
      <c r="S853" s="2">
        <f t="shared" si="211"/>
        <v>4.45</v>
      </c>
      <c r="T853" s="2"/>
      <c r="U853" s="2"/>
      <c r="Y853" s="8">
        <f t="shared" si="212"/>
        <v>3.6667032608695651</v>
      </c>
    </row>
    <row r="854" spans="1:25" x14ac:dyDescent="0.25">
      <c r="A854" s="34">
        <f t="shared" si="217"/>
        <v>846</v>
      </c>
      <c r="B854" s="35" t="e">
        <f t="shared" si="217"/>
        <v>#REF!</v>
      </c>
      <c r="C854" s="40" t="s">
        <v>240</v>
      </c>
      <c r="D854" s="35">
        <v>50</v>
      </c>
      <c r="E854" s="35"/>
      <c r="F854" s="36">
        <f>110179/1000000</f>
        <v>0.110179</v>
      </c>
      <c r="G854" s="36">
        <f t="shared" si="218"/>
        <v>2.1705263000000002E-2</v>
      </c>
      <c r="H854" s="36">
        <f>47102/1000000</f>
        <v>4.7101999999999998E-2</v>
      </c>
      <c r="I854" s="37">
        <f t="shared" si="219"/>
        <v>7.0652999999999992E-3</v>
      </c>
      <c r="J854" s="32">
        <f t="shared" si="210"/>
        <v>0.10480195</v>
      </c>
      <c r="K854" s="33">
        <f t="shared" si="213"/>
        <v>1.57202925E-2</v>
      </c>
      <c r="L854" s="33"/>
      <c r="O854" s="2">
        <f t="shared" si="214"/>
        <v>1.9625833333333332E-2</v>
      </c>
      <c r="P854" s="2">
        <f t="shared" si="215"/>
        <v>14.130599999999999</v>
      </c>
      <c r="Q854" s="7">
        <f t="shared" si="216"/>
        <v>63.997282608695649</v>
      </c>
      <c r="R854" s="2">
        <v>1.2</v>
      </c>
      <c r="S854" s="2">
        <f t="shared" si="211"/>
        <v>4.45</v>
      </c>
      <c r="T854" s="2"/>
      <c r="U854" s="2"/>
      <c r="Y854" s="8">
        <f t="shared" si="212"/>
        <v>2.2783032608695652</v>
      </c>
    </row>
    <row r="855" spans="1:25" x14ac:dyDescent="0.25">
      <c r="A855" s="34">
        <f t="shared" si="217"/>
        <v>847</v>
      </c>
      <c r="B855" s="35" t="e">
        <f t="shared" si="217"/>
        <v>#REF!</v>
      </c>
      <c r="C855" s="40" t="s">
        <v>240</v>
      </c>
      <c r="D855" s="35">
        <v>52</v>
      </c>
      <c r="E855" s="35"/>
      <c r="F855" s="36">
        <f>106183/1000000</f>
        <v>0.106183</v>
      </c>
      <c r="G855" s="36">
        <f t="shared" si="218"/>
        <v>2.0918051E-2</v>
      </c>
      <c r="H855" s="36">
        <f>50047/1000000</f>
        <v>5.0047000000000001E-2</v>
      </c>
      <c r="I855" s="37">
        <f t="shared" si="219"/>
        <v>7.5070499999999995E-3</v>
      </c>
      <c r="J855" s="32">
        <f t="shared" si="210"/>
        <v>0.11135457500000001</v>
      </c>
      <c r="K855" s="33">
        <f t="shared" si="213"/>
        <v>1.6703186250000002E-2</v>
      </c>
      <c r="L855" s="33"/>
      <c r="O855" s="2">
        <f t="shared" si="214"/>
        <v>2.0852916666666669E-2</v>
      </c>
      <c r="P855" s="2">
        <f t="shared" si="215"/>
        <v>15.014100000000003</v>
      </c>
      <c r="Q855" s="7">
        <f t="shared" si="216"/>
        <v>67.998641304347842</v>
      </c>
      <c r="R855" s="2">
        <v>1.2</v>
      </c>
      <c r="S855" s="2">
        <f t="shared" si="211"/>
        <v>4.45</v>
      </c>
      <c r="T855" s="2"/>
      <c r="U855" s="2"/>
      <c r="Y855" s="8">
        <f t="shared" si="212"/>
        <v>2.4207516304347831</v>
      </c>
    </row>
    <row r="856" spans="1:25" x14ac:dyDescent="0.25">
      <c r="A856" s="34">
        <f t="shared" si="217"/>
        <v>848</v>
      </c>
      <c r="B856" s="35" t="e">
        <f t="shared" si="217"/>
        <v>#REF!</v>
      </c>
      <c r="C856" s="40" t="s">
        <v>240</v>
      </c>
      <c r="D856" s="35">
        <v>54</v>
      </c>
      <c r="E856" s="35"/>
      <c r="F856" s="36">
        <f>146511/1000000</f>
        <v>0.146511</v>
      </c>
      <c r="G856" s="36">
        <f t="shared" si="218"/>
        <v>2.8862667000000002E-2</v>
      </c>
      <c r="H856" s="36">
        <f>78017/1000000</f>
        <v>7.8017000000000003E-2</v>
      </c>
      <c r="I856" s="37">
        <f t="shared" si="219"/>
        <v>1.1702550000000001E-2</v>
      </c>
      <c r="J856" s="32">
        <f t="shared" si="210"/>
        <v>0.17358782500000006</v>
      </c>
      <c r="K856" s="33">
        <f t="shared" si="213"/>
        <v>2.6038173750000008E-2</v>
      </c>
      <c r="L856" s="33"/>
      <c r="O856" s="2">
        <f t="shared" si="214"/>
        <v>3.2507083333333339E-2</v>
      </c>
      <c r="P856" s="2">
        <f t="shared" si="215"/>
        <v>23.405100000000004</v>
      </c>
      <c r="Q856" s="7">
        <f t="shared" si="216"/>
        <v>106.0013586956522</v>
      </c>
      <c r="R856" s="2">
        <v>1.2</v>
      </c>
      <c r="S856" s="2">
        <f t="shared" si="211"/>
        <v>4.45</v>
      </c>
      <c r="T856" s="2"/>
      <c r="U856" s="2"/>
      <c r="Y856" s="8">
        <f t="shared" si="212"/>
        <v>3.773648369565219</v>
      </c>
    </row>
    <row r="857" spans="1:25" x14ac:dyDescent="0.25">
      <c r="A857" s="34">
        <f t="shared" si="217"/>
        <v>849</v>
      </c>
      <c r="B857" s="35" t="e">
        <f t="shared" si="217"/>
        <v>#REF!</v>
      </c>
      <c r="C857" s="40" t="s">
        <v>240</v>
      </c>
      <c r="D857" s="35">
        <v>60</v>
      </c>
      <c r="E857" s="35"/>
      <c r="F857" s="36">
        <f>114875/1000000</f>
        <v>0.114875</v>
      </c>
      <c r="G857" s="36">
        <f t="shared" si="218"/>
        <v>2.2630375000000001E-2</v>
      </c>
      <c r="H857" s="36">
        <f>56674/1000000</f>
        <v>5.6674000000000002E-2</v>
      </c>
      <c r="I857" s="37">
        <f t="shared" si="219"/>
        <v>8.5010999999999993E-3</v>
      </c>
      <c r="J857" s="32">
        <f t="shared" si="210"/>
        <v>0.12609965000000001</v>
      </c>
      <c r="K857" s="33">
        <f t="shared" si="213"/>
        <v>1.8914947500000001E-2</v>
      </c>
      <c r="L857" s="33"/>
      <c r="O857" s="2">
        <f t="shared" si="214"/>
        <v>2.3614166666666669E-2</v>
      </c>
      <c r="P857" s="2">
        <f t="shared" si="215"/>
        <v>17.002200000000002</v>
      </c>
      <c r="Q857" s="7">
        <f t="shared" si="216"/>
        <v>77.002717391304358</v>
      </c>
      <c r="R857" s="2">
        <v>1.2</v>
      </c>
      <c r="S857" s="2">
        <f t="shared" si="211"/>
        <v>4.45</v>
      </c>
      <c r="T857" s="2"/>
      <c r="U857" s="2"/>
      <c r="Y857" s="8">
        <f t="shared" si="212"/>
        <v>2.7412967391304353</v>
      </c>
    </row>
    <row r="858" spans="1:25" x14ac:dyDescent="0.25">
      <c r="A858" s="34">
        <f t="shared" si="217"/>
        <v>850</v>
      </c>
      <c r="B858" s="35" t="e">
        <f t="shared" si="217"/>
        <v>#REF!</v>
      </c>
      <c r="C858" s="40" t="s">
        <v>240</v>
      </c>
      <c r="D858" s="35">
        <v>62</v>
      </c>
      <c r="E858" s="35"/>
      <c r="F858" s="36">
        <f>112042/1000000</f>
        <v>0.112042</v>
      </c>
      <c r="G858" s="36">
        <f t="shared" si="218"/>
        <v>2.2072274000000003E-2</v>
      </c>
      <c r="H858" s="36">
        <f>49312/1000000</f>
        <v>4.9312000000000002E-2</v>
      </c>
      <c r="I858" s="37">
        <f t="shared" si="219"/>
        <v>7.3968000000000002E-3</v>
      </c>
      <c r="J858" s="32">
        <f t="shared" si="210"/>
        <v>0.1097192</v>
      </c>
      <c r="K858" s="33">
        <f t="shared" si="213"/>
        <v>1.6457880000000001E-2</v>
      </c>
      <c r="L858" s="33"/>
      <c r="O858" s="2">
        <f t="shared" si="214"/>
        <v>2.0546666666666668E-2</v>
      </c>
      <c r="P858" s="2">
        <f t="shared" si="215"/>
        <v>14.7936</v>
      </c>
      <c r="Q858" s="7">
        <f t="shared" si="216"/>
        <v>67</v>
      </c>
      <c r="R858" s="2">
        <v>1.2</v>
      </c>
      <c r="S858" s="2">
        <f t="shared" si="211"/>
        <v>4.45</v>
      </c>
      <c r="T858" s="2"/>
      <c r="U858" s="2"/>
      <c r="Y858" s="8">
        <f t="shared" si="212"/>
        <v>2.3852000000000002</v>
      </c>
    </row>
    <row r="859" spans="1:25" x14ac:dyDescent="0.25">
      <c r="A859" s="34">
        <f t="shared" si="217"/>
        <v>851</v>
      </c>
      <c r="B859" s="35" t="e">
        <f t="shared" si="217"/>
        <v>#REF!</v>
      </c>
      <c r="C859" s="40" t="s">
        <v>240</v>
      </c>
      <c r="D859" s="35">
        <v>70</v>
      </c>
      <c r="E859" s="35"/>
      <c r="F859" s="36">
        <f>121330/1000000</f>
        <v>0.12132999999999999</v>
      </c>
      <c r="G859" s="36">
        <f t="shared" si="218"/>
        <v>2.3902010000000001E-2</v>
      </c>
      <c r="H859" s="36">
        <f>64768/1000000</f>
        <v>6.4768000000000006E-2</v>
      </c>
      <c r="I859" s="37">
        <f t="shared" si="219"/>
        <v>9.7152000000000002E-3</v>
      </c>
      <c r="J859" s="32">
        <f t="shared" si="210"/>
        <v>0.14410880000000001</v>
      </c>
      <c r="K859" s="33">
        <f t="shared" si="213"/>
        <v>2.1616320000000001E-2</v>
      </c>
      <c r="L859" s="33"/>
      <c r="O859" s="2">
        <f t="shared" si="214"/>
        <v>2.6986666666666669E-2</v>
      </c>
      <c r="P859" s="2">
        <f t="shared" si="215"/>
        <v>19.430400000000002</v>
      </c>
      <c r="Q859" s="7">
        <f t="shared" si="216"/>
        <v>88.000000000000014</v>
      </c>
      <c r="R859" s="2">
        <v>1.2</v>
      </c>
      <c r="S859" s="2">
        <f t="shared" si="211"/>
        <v>4.45</v>
      </c>
      <c r="T859" s="2"/>
      <c r="U859" s="2"/>
      <c r="Y859" s="8">
        <f t="shared" si="212"/>
        <v>3.1328000000000005</v>
      </c>
    </row>
    <row r="860" spans="1:25" x14ac:dyDescent="0.25">
      <c r="A860" s="34">
        <f t="shared" ref="A860:B875" si="220">A859+1</f>
        <v>852</v>
      </c>
      <c r="B860" s="35" t="e">
        <f t="shared" si="220"/>
        <v>#REF!</v>
      </c>
      <c r="C860" s="40" t="s">
        <v>240</v>
      </c>
      <c r="D860" s="35">
        <v>72</v>
      </c>
      <c r="E860" s="35"/>
      <c r="F860" s="36">
        <f>104780/1000000</f>
        <v>0.10478</v>
      </c>
      <c r="G860" s="36">
        <f t="shared" si="218"/>
        <v>2.0641659999999999E-2</v>
      </c>
      <c r="H860" s="36">
        <f>58142/1000000</f>
        <v>5.8141999999999999E-2</v>
      </c>
      <c r="I860" s="37">
        <f t="shared" si="219"/>
        <v>8.7212999999999995E-3</v>
      </c>
      <c r="J860" s="32">
        <f t="shared" si="210"/>
        <v>0.12936595000000001</v>
      </c>
      <c r="K860" s="33">
        <f t="shared" si="213"/>
        <v>1.94048925E-2</v>
      </c>
      <c r="L860" s="33"/>
      <c r="O860" s="2">
        <f t="shared" si="214"/>
        <v>2.4225833333333335E-2</v>
      </c>
      <c r="P860" s="2">
        <f t="shared" si="215"/>
        <v>17.442600000000002</v>
      </c>
      <c r="Q860" s="7">
        <f t="shared" si="216"/>
        <v>78.99728260869567</v>
      </c>
      <c r="R860" s="2">
        <v>1.2</v>
      </c>
      <c r="S860" s="2">
        <f t="shared" si="211"/>
        <v>4.45</v>
      </c>
      <c r="T860" s="2"/>
      <c r="U860" s="2"/>
      <c r="Y860" s="8">
        <f t="shared" si="212"/>
        <v>2.8123032608695655</v>
      </c>
    </row>
    <row r="861" spans="1:25" x14ac:dyDescent="0.25">
      <c r="A861" s="34">
        <f t="shared" si="220"/>
        <v>853</v>
      </c>
      <c r="B861" s="35" t="e">
        <f t="shared" si="220"/>
        <v>#REF!</v>
      </c>
      <c r="C861" s="40" t="s">
        <v>240</v>
      </c>
      <c r="D861" s="35">
        <v>74</v>
      </c>
      <c r="E861" s="35"/>
      <c r="F861" s="36">
        <f>80610/1000000</f>
        <v>8.0610000000000001E-2</v>
      </c>
      <c r="G861" s="36">
        <f t="shared" si="218"/>
        <v>1.5880170000000002E-2</v>
      </c>
      <c r="H861" s="36">
        <f>33120/1000000</f>
        <v>3.3119999999999997E-2</v>
      </c>
      <c r="I861" s="37">
        <f t="shared" si="219"/>
        <v>4.9679999999999993E-3</v>
      </c>
      <c r="J861" s="32">
        <f t="shared" si="210"/>
        <v>7.3691999999999994E-2</v>
      </c>
      <c r="K861" s="33">
        <f t="shared" si="213"/>
        <v>1.1053799999999999E-2</v>
      </c>
      <c r="L861" s="33"/>
      <c r="O861" s="2">
        <f t="shared" si="214"/>
        <v>1.38E-2</v>
      </c>
      <c r="P861" s="2">
        <f t="shared" si="215"/>
        <v>9.9359999999999999</v>
      </c>
      <c r="Q861" s="7">
        <f t="shared" si="216"/>
        <v>45</v>
      </c>
      <c r="R861" s="2">
        <v>1.2</v>
      </c>
      <c r="S861" s="2">
        <f t="shared" si="211"/>
        <v>4.45</v>
      </c>
      <c r="T861" s="2"/>
      <c r="U861" s="2"/>
      <c r="Y861" s="8">
        <f t="shared" si="212"/>
        <v>1.6019999999999999</v>
      </c>
    </row>
    <row r="862" spans="1:25" x14ac:dyDescent="0.25">
      <c r="A862" s="34">
        <f t="shared" si="220"/>
        <v>854</v>
      </c>
      <c r="B862" s="35" t="e">
        <f t="shared" si="220"/>
        <v>#REF!</v>
      </c>
      <c r="C862" s="40" t="s">
        <v>240</v>
      </c>
      <c r="D862" s="35">
        <v>76</v>
      </c>
      <c r="E862" s="35"/>
      <c r="F862" s="36">
        <f>121805/1000000</f>
        <v>0.121805</v>
      </c>
      <c r="G862" s="36">
        <f t="shared" si="218"/>
        <v>2.3995585E-2</v>
      </c>
      <c r="H862" s="36">
        <f>64768/1000000</f>
        <v>6.4768000000000006E-2</v>
      </c>
      <c r="I862" s="37">
        <f t="shared" si="219"/>
        <v>9.7152000000000002E-3</v>
      </c>
      <c r="J862" s="32">
        <f t="shared" si="210"/>
        <v>0.14410880000000001</v>
      </c>
      <c r="K862" s="33">
        <f t="shared" si="213"/>
        <v>2.1616320000000001E-2</v>
      </c>
      <c r="L862" s="33"/>
      <c r="O862" s="2">
        <f t="shared" si="214"/>
        <v>2.6986666666666669E-2</v>
      </c>
      <c r="P862" s="2">
        <f t="shared" si="215"/>
        <v>19.430400000000002</v>
      </c>
      <c r="Q862" s="7">
        <f t="shared" si="216"/>
        <v>88.000000000000014</v>
      </c>
      <c r="R862" s="2">
        <v>1.2</v>
      </c>
      <c r="S862" s="2">
        <f t="shared" si="211"/>
        <v>4.45</v>
      </c>
      <c r="T862" s="2"/>
      <c r="U862" s="2"/>
      <c r="Y862" s="8">
        <f t="shared" si="212"/>
        <v>3.1328000000000005</v>
      </c>
    </row>
    <row r="863" spans="1:25" x14ac:dyDescent="0.25">
      <c r="A863" s="34">
        <f t="shared" si="220"/>
        <v>855</v>
      </c>
      <c r="B863" s="35" t="e">
        <f t="shared" si="220"/>
        <v>#REF!</v>
      </c>
      <c r="C863" s="40" t="s">
        <v>240</v>
      </c>
      <c r="D863" s="35">
        <v>78</v>
      </c>
      <c r="E863" s="35"/>
      <c r="F863" s="36">
        <f>191279/1000000</f>
        <v>0.191279</v>
      </c>
      <c r="G863" s="36">
        <f t="shared" si="218"/>
        <v>3.7681963000000006E-2</v>
      </c>
      <c r="H863" s="36">
        <f>74338/1000000</f>
        <v>7.4338000000000001E-2</v>
      </c>
      <c r="I863" s="37">
        <f t="shared" si="219"/>
        <v>1.11507E-2</v>
      </c>
      <c r="J863" s="32">
        <f t="shared" si="210"/>
        <v>0.16540205000000002</v>
      </c>
      <c r="K863" s="33">
        <f t="shared" si="213"/>
        <v>2.4810307500000003E-2</v>
      </c>
      <c r="L863" s="33"/>
      <c r="O863" s="2">
        <f t="shared" si="214"/>
        <v>3.0974166666666667E-2</v>
      </c>
      <c r="P863" s="2">
        <f t="shared" si="215"/>
        <v>22.301400000000001</v>
      </c>
      <c r="Q863" s="7">
        <f t="shared" si="216"/>
        <v>101.00271739130436</v>
      </c>
      <c r="R863" s="2">
        <v>1.2</v>
      </c>
      <c r="S863" s="2">
        <f t="shared" si="211"/>
        <v>4.45</v>
      </c>
      <c r="T863" s="2"/>
      <c r="U863" s="2"/>
      <c r="Y863" s="8">
        <f t="shared" si="212"/>
        <v>3.5956967391304353</v>
      </c>
    </row>
    <row r="864" spans="1:25" x14ac:dyDescent="0.25">
      <c r="A864" s="34">
        <f t="shared" si="220"/>
        <v>856</v>
      </c>
      <c r="B864" s="35" t="e">
        <f t="shared" si="220"/>
        <v>#REF!</v>
      </c>
      <c r="C864" s="40" t="s">
        <v>240</v>
      </c>
      <c r="D864" s="35">
        <v>80</v>
      </c>
      <c r="E864" s="35"/>
      <c r="F864" s="36">
        <f>114025/1000000</f>
        <v>0.114025</v>
      </c>
      <c r="G864" s="36">
        <f t="shared" si="218"/>
        <v>2.2462925000000002E-2</v>
      </c>
      <c r="H864" s="36">
        <f>49313/1000000</f>
        <v>4.9313000000000003E-2</v>
      </c>
      <c r="I864" s="37">
        <f t="shared" si="219"/>
        <v>7.3969500000000002E-3</v>
      </c>
      <c r="J864" s="32">
        <f t="shared" si="210"/>
        <v>0.10972142500000001</v>
      </c>
      <c r="K864" s="33">
        <f t="shared" si="213"/>
        <v>1.6458213750000002E-2</v>
      </c>
      <c r="L864" s="33"/>
      <c r="O864" s="2">
        <f t="shared" si="214"/>
        <v>2.0547083333333334E-2</v>
      </c>
      <c r="P864" s="2">
        <f t="shared" si="215"/>
        <v>14.793900000000001</v>
      </c>
      <c r="Q864" s="7">
        <f t="shared" si="216"/>
        <v>67.001358695652172</v>
      </c>
      <c r="R864" s="2">
        <v>1.2</v>
      </c>
      <c r="S864" s="2">
        <f t="shared" si="211"/>
        <v>4.45</v>
      </c>
      <c r="T864" s="2"/>
      <c r="U864" s="2"/>
      <c r="Y864" s="8">
        <f t="shared" si="212"/>
        <v>2.3852483695652178</v>
      </c>
    </row>
    <row r="865" spans="1:25" x14ac:dyDescent="0.25">
      <c r="A865" s="34">
        <f t="shared" si="220"/>
        <v>857</v>
      </c>
      <c r="B865" s="35" t="e">
        <f t="shared" si="220"/>
        <v>#REF!</v>
      </c>
      <c r="C865" s="40" t="s">
        <v>240</v>
      </c>
      <c r="D865" s="35" t="s">
        <v>244</v>
      </c>
      <c r="E865" s="35"/>
      <c r="F865" s="36">
        <v>0.1346</v>
      </c>
      <c r="G865" s="36">
        <v>2.8299999999999999E-2</v>
      </c>
      <c r="H865" s="36">
        <f>44896/1000000</f>
        <v>4.4895999999999998E-2</v>
      </c>
      <c r="I865" s="37">
        <f t="shared" si="219"/>
        <v>6.7343999999999998E-3</v>
      </c>
      <c r="J865" s="32">
        <f t="shared" si="210"/>
        <v>9.9893599999999999E-2</v>
      </c>
      <c r="K865" s="33">
        <f t="shared" si="213"/>
        <v>1.4984039999999999E-2</v>
      </c>
      <c r="L865" s="33"/>
      <c r="O865" s="2">
        <f t="shared" si="214"/>
        <v>1.8706666666666667E-2</v>
      </c>
      <c r="P865" s="2">
        <f t="shared" si="215"/>
        <v>13.468800000000002</v>
      </c>
      <c r="Q865" s="7">
        <f t="shared" si="216"/>
        <v>61.000000000000007</v>
      </c>
      <c r="R865" s="2">
        <v>1.2</v>
      </c>
      <c r="S865" s="2">
        <f t="shared" si="211"/>
        <v>4.45</v>
      </c>
      <c r="T865" s="2"/>
      <c r="U865" s="2"/>
      <c r="Y865" s="8">
        <f t="shared" si="212"/>
        <v>2.1716000000000002</v>
      </c>
    </row>
    <row r="866" spans="1:25" x14ac:dyDescent="0.25">
      <c r="A866" s="34">
        <f t="shared" si="220"/>
        <v>858</v>
      </c>
      <c r="B866" s="35" t="e">
        <f t="shared" si="220"/>
        <v>#REF!</v>
      </c>
      <c r="C866" s="40" t="s">
        <v>240</v>
      </c>
      <c r="D866" s="35">
        <v>82</v>
      </c>
      <c r="E866" s="35"/>
      <c r="F866" s="36">
        <f>142221/1000000</f>
        <v>0.14222099999999999</v>
      </c>
      <c r="G866" s="36">
        <f t="shared" ref="G866:G872" si="221">F866*0.197</f>
        <v>2.8017536999999999E-2</v>
      </c>
      <c r="H866" s="36">
        <f>63296/1000000</f>
        <v>6.3296000000000005E-2</v>
      </c>
      <c r="I866" s="37">
        <f t="shared" si="219"/>
        <v>9.4944000000000001E-3</v>
      </c>
      <c r="J866" s="32">
        <f t="shared" si="210"/>
        <v>0.1408336</v>
      </c>
      <c r="K866" s="33">
        <f t="shared" si="213"/>
        <v>2.1125040000000001E-2</v>
      </c>
      <c r="L866" s="33"/>
      <c r="O866" s="2">
        <f t="shared" si="214"/>
        <v>2.6373333333333335E-2</v>
      </c>
      <c r="P866" s="2">
        <f t="shared" si="215"/>
        <v>18.988800000000001</v>
      </c>
      <c r="Q866" s="7">
        <f t="shared" si="216"/>
        <v>86</v>
      </c>
      <c r="R866" s="2">
        <v>1.2</v>
      </c>
      <c r="S866" s="2">
        <f t="shared" si="211"/>
        <v>4.45</v>
      </c>
      <c r="T866" s="2"/>
      <c r="U866" s="2"/>
      <c r="Y866" s="8">
        <f t="shared" si="212"/>
        <v>3.0616000000000003</v>
      </c>
    </row>
    <row r="867" spans="1:25" x14ac:dyDescent="0.25">
      <c r="A867" s="34">
        <f t="shared" si="220"/>
        <v>859</v>
      </c>
      <c r="B867" s="35" t="e">
        <f t="shared" si="220"/>
        <v>#REF!</v>
      </c>
      <c r="C867" s="40" t="s">
        <v>240</v>
      </c>
      <c r="D867" s="35">
        <v>84</v>
      </c>
      <c r="E867" s="35"/>
      <c r="F867" s="36">
        <f>111040/1000000</f>
        <v>0.11104</v>
      </c>
      <c r="G867" s="36">
        <f t="shared" si="221"/>
        <v>2.1874879999999999E-2</v>
      </c>
      <c r="H867" s="36">
        <f>60352/1000000</f>
        <v>6.0352000000000003E-2</v>
      </c>
      <c r="I867" s="37">
        <f t="shared" si="219"/>
        <v>9.0527999999999997E-3</v>
      </c>
      <c r="J867" s="32">
        <f t="shared" si="210"/>
        <v>0.13428320000000002</v>
      </c>
      <c r="K867" s="33">
        <f t="shared" si="213"/>
        <v>2.0142480000000001E-2</v>
      </c>
      <c r="L867" s="33"/>
      <c r="O867" s="2">
        <f t="shared" si="214"/>
        <v>2.5146666666666668E-2</v>
      </c>
      <c r="P867" s="2">
        <f t="shared" si="215"/>
        <v>18.105600000000003</v>
      </c>
      <c r="Q867" s="7">
        <f t="shared" si="216"/>
        <v>82.000000000000014</v>
      </c>
      <c r="R867" s="2">
        <v>1.2</v>
      </c>
      <c r="S867" s="2">
        <f t="shared" si="211"/>
        <v>4.45</v>
      </c>
      <c r="T867" s="2"/>
      <c r="U867" s="2"/>
      <c r="Y867" s="8">
        <f t="shared" si="212"/>
        <v>2.9192000000000005</v>
      </c>
    </row>
    <row r="868" spans="1:25" x14ac:dyDescent="0.25">
      <c r="A868" s="34">
        <f t="shared" si="220"/>
        <v>860</v>
      </c>
      <c r="B868" s="35" t="e">
        <f t="shared" si="220"/>
        <v>#REF!</v>
      </c>
      <c r="C868" s="40" t="s">
        <v>245</v>
      </c>
      <c r="D868" s="35">
        <v>2</v>
      </c>
      <c r="E868" s="35"/>
      <c r="F868" s="36">
        <f>113252/1000000</f>
        <v>0.11325200000000001</v>
      </c>
      <c r="G868" s="36">
        <f t="shared" si="221"/>
        <v>2.2310644000000001E-2</v>
      </c>
      <c r="H868" s="36">
        <f>44160/1000000</f>
        <v>4.4159999999999998E-2</v>
      </c>
      <c r="I868" s="37">
        <f t="shared" si="219"/>
        <v>6.6239999999999997E-3</v>
      </c>
      <c r="J868" s="32">
        <f t="shared" si="210"/>
        <v>9.8255999999999996E-2</v>
      </c>
      <c r="K868" s="33">
        <f t="shared" si="213"/>
        <v>1.4738399999999999E-2</v>
      </c>
      <c r="L868" s="24" t="s">
        <v>16</v>
      </c>
      <c r="O868" s="2">
        <f t="shared" si="214"/>
        <v>1.84E-2</v>
      </c>
      <c r="P868" s="2">
        <f t="shared" si="215"/>
        <v>13.247999999999999</v>
      </c>
      <c r="Q868" s="7">
        <f t="shared" si="216"/>
        <v>60</v>
      </c>
      <c r="R868" s="2">
        <v>1.2</v>
      </c>
      <c r="S868" s="2">
        <f t="shared" si="211"/>
        <v>4.45</v>
      </c>
      <c r="T868" s="2"/>
      <c r="U868" s="2"/>
      <c r="Y868" s="8">
        <f t="shared" si="212"/>
        <v>2.1359999999999997</v>
      </c>
    </row>
    <row r="869" spans="1:25" x14ac:dyDescent="0.25">
      <c r="A869" s="34">
        <f t="shared" si="220"/>
        <v>861</v>
      </c>
      <c r="B869" s="35" t="e">
        <f t="shared" si="220"/>
        <v>#REF!</v>
      </c>
      <c r="C869" s="40" t="s">
        <v>245</v>
      </c>
      <c r="D869" s="35" t="s">
        <v>26</v>
      </c>
      <c r="E869" s="35"/>
      <c r="F869" s="36">
        <f>220614/1000000</f>
        <v>0.220614</v>
      </c>
      <c r="G869" s="36">
        <f t="shared" si="221"/>
        <v>4.3460958000000001E-2</v>
      </c>
      <c r="H869" s="36">
        <f>75806/1000000</f>
        <v>7.5805999999999998E-2</v>
      </c>
      <c r="I869" s="37">
        <f t="shared" si="219"/>
        <v>1.13709E-2</v>
      </c>
      <c r="J869" s="32">
        <f t="shared" si="210"/>
        <v>0.16866834999999999</v>
      </c>
      <c r="K869" s="33">
        <f t="shared" si="213"/>
        <v>2.5300252499999999E-2</v>
      </c>
      <c r="L869" s="33"/>
      <c r="O869" s="2">
        <f t="shared" si="214"/>
        <v>3.1585833333333334E-2</v>
      </c>
      <c r="P869" s="2">
        <f t="shared" si="215"/>
        <v>22.741799999999998</v>
      </c>
      <c r="Q869" s="7">
        <f t="shared" si="216"/>
        <v>102.99728260869564</v>
      </c>
      <c r="R869" s="2">
        <v>1.2</v>
      </c>
      <c r="S869" s="2">
        <f t="shared" si="211"/>
        <v>4.45</v>
      </c>
      <c r="T869" s="2"/>
      <c r="U869" s="2"/>
      <c r="Y869" s="8">
        <f t="shared" si="212"/>
        <v>3.6667032608695651</v>
      </c>
    </row>
    <row r="870" spans="1:25" x14ac:dyDescent="0.25">
      <c r="A870" s="34">
        <f t="shared" si="220"/>
        <v>862</v>
      </c>
      <c r="B870" s="35" t="e">
        <f t="shared" si="220"/>
        <v>#REF!</v>
      </c>
      <c r="C870" s="40" t="s">
        <v>245</v>
      </c>
      <c r="D870" s="35">
        <v>6</v>
      </c>
      <c r="E870" s="35"/>
      <c r="F870" s="36">
        <f>148278/1000000</f>
        <v>0.14827799999999999</v>
      </c>
      <c r="G870" s="36">
        <f t="shared" si="221"/>
        <v>2.9210765999999999E-2</v>
      </c>
      <c r="H870" s="36">
        <f>71393/1000000</f>
        <v>7.1392999999999998E-2</v>
      </c>
      <c r="I870" s="37">
        <f t="shared" si="219"/>
        <v>1.070895E-2</v>
      </c>
      <c r="J870" s="32">
        <f t="shared" si="210"/>
        <v>0.15884942499999999</v>
      </c>
      <c r="K870" s="33">
        <f t="shared" si="213"/>
        <v>2.3827413749999998E-2</v>
      </c>
      <c r="L870" s="33"/>
      <c r="O870" s="2">
        <f t="shared" si="214"/>
        <v>2.9747083333333334E-2</v>
      </c>
      <c r="P870" s="2">
        <f t="shared" si="215"/>
        <v>21.417899999999999</v>
      </c>
      <c r="Q870" s="7">
        <f t="shared" si="216"/>
        <v>97.001358695652172</v>
      </c>
      <c r="R870" s="2">
        <v>1.2</v>
      </c>
      <c r="S870" s="2">
        <f t="shared" si="211"/>
        <v>4.45</v>
      </c>
      <c r="T870" s="2"/>
      <c r="U870" s="2"/>
      <c r="Y870" s="8">
        <f t="shared" si="212"/>
        <v>3.4532483695652174</v>
      </c>
    </row>
    <row r="871" spans="1:25" x14ac:dyDescent="0.25">
      <c r="A871" s="34">
        <f t="shared" si="220"/>
        <v>863</v>
      </c>
      <c r="B871" s="35" t="e">
        <f t="shared" si="220"/>
        <v>#REF!</v>
      </c>
      <c r="C871" s="40" t="s">
        <v>245</v>
      </c>
      <c r="D871" s="35" t="s">
        <v>86</v>
      </c>
      <c r="E871" s="35"/>
      <c r="F871" s="36">
        <f>115540/1000000</f>
        <v>0.11554</v>
      </c>
      <c r="G871" s="36">
        <f t="shared" si="221"/>
        <v>2.2761380000000001E-2</v>
      </c>
      <c r="H871" s="36">
        <f>50784/1000000</f>
        <v>5.0784000000000003E-2</v>
      </c>
      <c r="I871" s="37">
        <f t="shared" si="219"/>
        <v>7.6176000000000004E-3</v>
      </c>
      <c r="J871" s="32">
        <f t="shared" si="210"/>
        <v>0.11299440000000001</v>
      </c>
      <c r="K871" s="33">
        <f t="shared" si="213"/>
        <v>1.6949160000000001E-2</v>
      </c>
      <c r="L871" s="33"/>
      <c r="O871" s="2">
        <f t="shared" si="214"/>
        <v>2.1160000000000002E-2</v>
      </c>
      <c r="P871" s="2">
        <f t="shared" si="215"/>
        <v>15.235200000000003</v>
      </c>
      <c r="Q871" s="7">
        <f t="shared" si="216"/>
        <v>69.000000000000014</v>
      </c>
      <c r="R871" s="2">
        <v>1.2</v>
      </c>
      <c r="S871" s="2">
        <f t="shared" si="211"/>
        <v>4.45</v>
      </c>
      <c r="T871" s="2"/>
      <c r="U871" s="2"/>
      <c r="Y871" s="8">
        <f t="shared" si="212"/>
        <v>2.4563999999999999</v>
      </c>
    </row>
    <row r="872" spans="1:25" x14ac:dyDescent="0.25">
      <c r="A872" s="34">
        <f t="shared" si="220"/>
        <v>864</v>
      </c>
      <c r="B872" s="35" t="e">
        <f t="shared" si="220"/>
        <v>#REF!</v>
      </c>
      <c r="C872" s="40" t="s">
        <v>245</v>
      </c>
      <c r="D872" s="35" t="s">
        <v>246</v>
      </c>
      <c r="E872" s="35"/>
      <c r="F872" s="36">
        <f>151877/1000000</f>
        <v>0.15187700000000001</v>
      </c>
      <c r="G872" s="36">
        <f t="shared" si="221"/>
        <v>2.9919769000000002E-2</v>
      </c>
      <c r="H872" s="36">
        <f>74390/1000000</f>
        <v>7.4389999999999998E-2</v>
      </c>
      <c r="I872" s="37">
        <f t="shared" si="219"/>
        <v>1.11585E-2</v>
      </c>
      <c r="J872" s="32">
        <f t="shared" si="210"/>
        <v>0.16551774999999999</v>
      </c>
      <c r="K872" s="33">
        <f t="shared" si="213"/>
        <v>2.4827662499999997E-2</v>
      </c>
      <c r="L872" s="33"/>
      <c r="O872" s="2">
        <f t="shared" si="214"/>
        <v>3.0995833333333334E-2</v>
      </c>
      <c r="P872" s="2">
        <f t="shared" si="215"/>
        <v>22.317</v>
      </c>
      <c r="Q872" s="7">
        <f t="shared" si="216"/>
        <v>101.07336956521739</v>
      </c>
      <c r="R872" s="2">
        <v>1.2</v>
      </c>
      <c r="S872" s="2">
        <f t="shared" si="211"/>
        <v>4.45</v>
      </c>
      <c r="T872" s="2"/>
      <c r="U872" s="2"/>
      <c r="Y872" s="8">
        <f t="shared" si="212"/>
        <v>3.5982119565217392</v>
      </c>
    </row>
    <row r="873" spans="1:25" x14ac:dyDescent="0.25">
      <c r="A873" s="34">
        <f t="shared" si="220"/>
        <v>865</v>
      </c>
      <c r="B873" s="35" t="e">
        <f t="shared" si="220"/>
        <v>#REF!</v>
      </c>
      <c r="C873" s="40" t="s">
        <v>245</v>
      </c>
      <c r="D873" s="41" t="s">
        <v>237</v>
      </c>
      <c r="E873" s="35"/>
      <c r="F873" s="36">
        <f>253001/1000000</f>
        <v>0.25300099999999998</v>
      </c>
      <c r="G873" s="36">
        <f>F873*0.197</f>
        <v>4.9841196999999997E-2</v>
      </c>
      <c r="H873" s="36">
        <f>43630/1000000</f>
        <v>4.3630000000000002E-2</v>
      </c>
      <c r="I873" s="37">
        <f>H873*0.15</f>
        <v>6.5445E-3</v>
      </c>
      <c r="J873" s="32">
        <f t="shared" si="210"/>
        <v>9.7076750000000017E-2</v>
      </c>
      <c r="K873" s="33">
        <f t="shared" si="213"/>
        <v>1.4561512500000002E-2</v>
      </c>
      <c r="L873" s="33"/>
      <c r="O873" s="2">
        <f t="shared" si="214"/>
        <v>1.817916666666667E-2</v>
      </c>
      <c r="P873" s="2">
        <f t="shared" si="215"/>
        <v>13.089000000000002</v>
      </c>
      <c r="Q873" s="7">
        <f t="shared" si="216"/>
        <v>59.279891304347835</v>
      </c>
      <c r="R873" s="2">
        <v>1.2</v>
      </c>
      <c r="S873" s="2">
        <f t="shared" si="211"/>
        <v>4.45</v>
      </c>
      <c r="T873" s="2"/>
      <c r="U873" s="2"/>
      <c r="Y873" s="8">
        <f t="shared" si="212"/>
        <v>2.1103641304347831</v>
      </c>
    </row>
    <row r="874" spans="1:25" x14ac:dyDescent="0.25">
      <c r="A874" s="34">
        <f t="shared" si="220"/>
        <v>866</v>
      </c>
      <c r="B874" s="35" t="e">
        <f t="shared" si="220"/>
        <v>#REF!</v>
      </c>
      <c r="C874" s="40" t="s">
        <v>245</v>
      </c>
      <c r="D874" s="41" t="s">
        <v>209</v>
      </c>
      <c r="E874" s="35"/>
      <c r="F874" s="36">
        <f>154070/1000000</f>
        <v>0.15407000000000001</v>
      </c>
      <c r="G874" s="36">
        <f>F874*0.197</f>
        <v>3.0351790000000003E-2</v>
      </c>
      <c r="H874" s="36">
        <f>82018/1000000</f>
        <v>8.2017999999999994E-2</v>
      </c>
      <c r="I874" s="37">
        <f t="shared" ref="I874:I896" si="222">H874*0.15</f>
        <v>1.2302699999999998E-2</v>
      </c>
      <c r="J874" s="32">
        <f t="shared" si="210"/>
        <v>0.18249004999999999</v>
      </c>
      <c r="K874" s="33">
        <f t="shared" si="213"/>
        <v>2.7373507499999998E-2</v>
      </c>
      <c r="L874" s="33"/>
      <c r="O874" s="2">
        <f t="shared" si="214"/>
        <v>3.4174166666666665E-2</v>
      </c>
      <c r="P874" s="2">
        <f t="shared" si="215"/>
        <v>24.605399999999996</v>
      </c>
      <c r="Q874" s="7">
        <f t="shared" si="216"/>
        <v>111.43749999999999</v>
      </c>
      <c r="R874" s="2">
        <v>1.2</v>
      </c>
      <c r="S874" s="2">
        <f t="shared" si="211"/>
        <v>4.45</v>
      </c>
      <c r="T874" s="2"/>
      <c r="U874" s="2"/>
      <c r="Y874" s="8">
        <f t="shared" si="212"/>
        <v>3.9671749999999997</v>
      </c>
    </row>
    <row r="875" spans="1:25" x14ac:dyDescent="0.25">
      <c r="A875" s="34">
        <f t="shared" si="220"/>
        <v>867</v>
      </c>
      <c r="B875" s="35" t="e">
        <f t="shared" si="220"/>
        <v>#REF!</v>
      </c>
      <c r="C875" s="40" t="s">
        <v>245</v>
      </c>
      <c r="D875" s="41" t="s">
        <v>247</v>
      </c>
      <c r="E875" s="35"/>
      <c r="F875" s="36">
        <f>101748/1000000</f>
        <v>0.10174800000000001</v>
      </c>
      <c r="G875" s="36">
        <f>F875*0.197</f>
        <v>2.0044356000000003E-2</v>
      </c>
      <c r="H875" s="36">
        <f>47102/1000000</f>
        <v>4.7101999999999998E-2</v>
      </c>
      <c r="I875" s="37">
        <f t="shared" si="222"/>
        <v>7.0652999999999992E-3</v>
      </c>
      <c r="J875" s="32">
        <f t="shared" si="210"/>
        <v>0.10480195</v>
      </c>
      <c r="K875" s="33">
        <f t="shared" si="213"/>
        <v>1.57202925E-2</v>
      </c>
      <c r="L875" s="33"/>
      <c r="O875" s="2">
        <f t="shared" si="214"/>
        <v>1.9625833333333332E-2</v>
      </c>
      <c r="P875" s="2">
        <f t="shared" si="215"/>
        <v>14.130599999999999</v>
      </c>
      <c r="Q875" s="7">
        <f t="shared" si="216"/>
        <v>63.997282608695649</v>
      </c>
      <c r="R875" s="2">
        <v>1.2</v>
      </c>
      <c r="S875" s="2">
        <f t="shared" si="211"/>
        <v>4.45</v>
      </c>
      <c r="T875" s="2"/>
      <c r="U875" s="2"/>
      <c r="Y875" s="8">
        <f t="shared" si="212"/>
        <v>2.2783032608695652</v>
      </c>
    </row>
    <row r="876" spans="1:25" x14ac:dyDescent="0.25">
      <c r="A876" s="34">
        <f t="shared" ref="A876:B891" si="223">A875+1</f>
        <v>868</v>
      </c>
      <c r="B876" s="35" t="e">
        <f t="shared" si="223"/>
        <v>#REF!</v>
      </c>
      <c r="C876" s="40" t="s">
        <v>248</v>
      </c>
      <c r="D876" s="41" t="s">
        <v>94</v>
      </c>
      <c r="E876" s="35"/>
      <c r="F876" s="36">
        <f>164498/1000000</f>
        <v>0.16449800000000001</v>
      </c>
      <c r="G876" s="36">
        <f>F876*0.197</f>
        <v>3.2406106000000004E-2</v>
      </c>
      <c r="H876" s="36">
        <f>73600/1000000</f>
        <v>7.3599999999999999E-2</v>
      </c>
      <c r="I876" s="37">
        <f>H876*0.15</f>
        <v>1.1039999999999999E-2</v>
      </c>
      <c r="J876" s="32">
        <f t="shared" si="210"/>
        <v>0.16376000000000002</v>
      </c>
      <c r="K876" s="33">
        <f t="shared" si="213"/>
        <v>2.4564000000000002E-2</v>
      </c>
      <c r="L876" s="33"/>
      <c r="O876" s="2">
        <f t="shared" si="214"/>
        <v>3.0666666666666668E-2</v>
      </c>
      <c r="P876" s="2">
        <f t="shared" si="215"/>
        <v>22.08</v>
      </c>
      <c r="Q876" s="7">
        <f t="shared" si="216"/>
        <v>100</v>
      </c>
      <c r="R876" s="2">
        <v>1.2</v>
      </c>
      <c r="S876" s="2">
        <f t="shared" si="211"/>
        <v>4.45</v>
      </c>
      <c r="T876" s="2"/>
      <c r="U876" s="2"/>
      <c r="Y876" s="8">
        <f t="shared" si="212"/>
        <v>3.56</v>
      </c>
    </row>
    <row r="877" spans="1:25" x14ac:dyDescent="0.25">
      <c r="A877" s="34">
        <f t="shared" si="223"/>
        <v>869</v>
      </c>
      <c r="B877" s="35" t="e">
        <f t="shared" si="223"/>
        <v>#REF!</v>
      </c>
      <c r="C877" s="40" t="s">
        <v>249</v>
      </c>
      <c r="D877" s="41" t="s">
        <v>72</v>
      </c>
      <c r="E877" s="35"/>
      <c r="F877" s="36">
        <f>103928/1000000</f>
        <v>0.10392800000000001</v>
      </c>
      <c r="G877" s="36">
        <f>F877*0.197</f>
        <v>2.0473816000000002E-2</v>
      </c>
      <c r="H877" s="36">
        <f>43423/1000000</f>
        <v>4.3423000000000003E-2</v>
      </c>
      <c r="I877" s="37">
        <f t="shared" si="222"/>
        <v>6.5134500000000005E-3</v>
      </c>
      <c r="J877" s="32">
        <f t="shared" si="210"/>
        <v>9.6616175000000026E-2</v>
      </c>
      <c r="K877" s="33">
        <f t="shared" si="213"/>
        <v>1.4492426250000003E-2</v>
      </c>
      <c r="L877" s="33"/>
      <c r="O877" s="2">
        <f t="shared" si="214"/>
        <v>1.809291666666667E-2</v>
      </c>
      <c r="P877" s="2">
        <f t="shared" si="215"/>
        <v>13.026900000000003</v>
      </c>
      <c r="Q877" s="7">
        <f t="shared" si="216"/>
        <v>58.998641304347842</v>
      </c>
      <c r="R877" s="2">
        <v>1.2</v>
      </c>
      <c r="S877" s="2">
        <f t="shared" si="211"/>
        <v>4.45</v>
      </c>
      <c r="T877" s="2"/>
      <c r="U877" s="2"/>
      <c r="Y877" s="8">
        <f t="shared" si="212"/>
        <v>2.1003516304347833</v>
      </c>
    </row>
    <row r="878" spans="1:25" x14ac:dyDescent="0.25">
      <c r="A878" s="34">
        <f t="shared" si="223"/>
        <v>870</v>
      </c>
      <c r="B878" s="35" t="e">
        <f t="shared" si="223"/>
        <v>#REF!</v>
      </c>
      <c r="C878" s="40" t="s">
        <v>249</v>
      </c>
      <c r="D878" s="41" t="s">
        <v>74</v>
      </c>
      <c r="E878" s="35"/>
      <c r="F878" s="36">
        <v>0.23089999999999999</v>
      </c>
      <c r="G878" s="36">
        <v>0.05</v>
      </c>
      <c r="H878" s="36">
        <v>0</v>
      </c>
      <c r="I878" s="37">
        <f t="shared" si="222"/>
        <v>0</v>
      </c>
      <c r="J878" s="32">
        <f t="shared" si="210"/>
        <v>0</v>
      </c>
      <c r="K878" s="33">
        <f t="shared" si="213"/>
        <v>0</v>
      </c>
      <c r="L878" s="33"/>
      <c r="O878" s="2">
        <f t="shared" si="214"/>
        <v>0</v>
      </c>
      <c r="P878" s="2">
        <f t="shared" si="215"/>
        <v>0</v>
      </c>
      <c r="Q878" s="7">
        <f t="shared" si="216"/>
        <v>0</v>
      </c>
      <c r="R878" s="2">
        <v>1.2</v>
      </c>
      <c r="S878" s="2">
        <f t="shared" si="211"/>
        <v>4.45</v>
      </c>
      <c r="T878" s="2"/>
      <c r="U878" s="2"/>
      <c r="Y878" s="8">
        <f t="shared" si="212"/>
        <v>0</v>
      </c>
    </row>
    <row r="879" spans="1:25" x14ac:dyDescent="0.25">
      <c r="A879" s="34">
        <f t="shared" si="223"/>
        <v>871</v>
      </c>
      <c r="B879" s="35" t="e">
        <f t="shared" si="223"/>
        <v>#REF!</v>
      </c>
      <c r="C879" s="40" t="s">
        <v>249</v>
      </c>
      <c r="D879" s="41" t="s">
        <v>250</v>
      </c>
      <c r="E879" s="35"/>
      <c r="F879" s="36">
        <f>104431/1000000</f>
        <v>0.104431</v>
      </c>
      <c r="G879" s="36">
        <f t="shared" ref="G879:G896" si="224">F879*0.197</f>
        <v>2.0572907000000001E-2</v>
      </c>
      <c r="H879" s="36">
        <f>56674/1000000</f>
        <v>5.6674000000000002E-2</v>
      </c>
      <c r="I879" s="37">
        <f t="shared" si="222"/>
        <v>8.5010999999999993E-3</v>
      </c>
      <c r="J879" s="32">
        <f t="shared" si="210"/>
        <v>0.12609965000000001</v>
      </c>
      <c r="K879" s="33">
        <f t="shared" si="213"/>
        <v>1.8914947500000001E-2</v>
      </c>
      <c r="L879" s="33"/>
      <c r="O879" s="2">
        <f t="shared" si="214"/>
        <v>2.3614166666666669E-2</v>
      </c>
      <c r="P879" s="2">
        <f t="shared" si="215"/>
        <v>17.002200000000002</v>
      </c>
      <c r="Q879" s="7">
        <f t="shared" si="216"/>
        <v>77.002717391304358</v>
      </c>
      <c r="R879" s="2">
        <v>1.2</v>
      </c>
      <c r="S879" s="2">
        <f t="shared" si="211"/>
        <v>4.45</v>
      </c>
      <c r="T879" s="2"/>
      <c r="U879" s="2"/>
      <c r="Y879" s="8">
        <f t="shared" si="212"/>
        <v>2.7412967391304353</v>
      </c>
    </row>
    <row r="880" spans="1:25" x14ac:dyDescent="0.25">
      <c r="A880" s="34">
        <f t="shared" si="223"/>
        <v>872</v>
      </c>
      <c r="B880" s="35" t="e">
        <f t="shared" si="223"/>
        <v>#REF!</v>
      </c>
      <c r="C880" s="40" t="s">
        <v>249</v>
      </c>
      <c r="D880" s="41" t="s">
        <v>251</v>
      </c>
      <c r="E880" s="35"/>
      <c r="F880" s="36">
        <f>99271/1000000</f>
        <v>9.9270999999999998E-2</v>
      </c>
      <c r="G880" s="36">
        <f t="shared" si="224"/>
        <v>1.9556387000000001E-2</v>
      </c>
      <c r="H880" s="36">
        <f>42686/1000000</f>
        <v>4.2686000000000002E-2</v>
      </c>
      <c r="I880" s="37">
        <f t="shared" si="222"/>
        <v>6.4029000000000004E-3</v>
      </c>
      <c r="J880" s="32">
        <f t="shared" si="210"/>
        <v>9.4976350000000001E-2</v>
      </c>
      <c r="K880" s="33">
        <f t="shared" si="213"/>
        <v>1.4246452499999999E-2</v>
      </c>
      <c r="L880" s="33"/>
      <c r="O880" s="2">
        <f t="shared" si="214"/>
        <v>1.7785833333333334E-2</v>
      </c>
      <c r="P880" s="2">
        <f t="shared" si="215"/>
        <v>12.805800000000001</v>
      </c>
      <c r="Q880" s="7">
        <f t="shared" si="216"/>
        <v>57.997282608695663</v>
      </c>
      <c r="R880" s="2">
        <v>1.2</v>
      </c>
      <c r="S880" s="2">
        <f t="shared" si="211"/>
        <v>4.45</v>
      </c>
      <c r="T880" s="2"/>
      <c r="U880" s="2"/>
      <c r="Y880" s="8">
        <f t="shared" si="212"/>
        <v>2.0647032608695652</v>
      </c>
    </row>
    <row r="881" spans="1:25" x14ac:dyDescent="0.25">
      <c r="A881" s="34">
        <f t="shared" si="223"/>
        <v>873</v>
      </c>
      <c r="B881" s="35" t="e">
        <f t="shared" si="223"/>
        <v>#REF!</v>
      </c>
      <c r="C881" s="40" t="s">
        <v>249</v>
      </c>
      <c r="D881" s="41" t="s">
        <v>252</v>
      </c>
      <c r="E881" s="35"/>
      <c r="F881" s="36">
        <f>98993/1000000</f>
        <v>9.8992999999999998E-2</v>
      </c>
      <c r="G881" s="36">
        <f t="shared" si="224"/>
        <v>1.9501621E-2</v>
      </c>
      <c r="H881" s="36">
        <f>44897/1000000</f>
        <v>4.4896999999999999E-2</v>
      </c>
      <c r="I881" s="37">
        <f t="shared" si="222"/>
        <v>6.7345499999999997E-3</v>
      </c>
      <c r="J881" s="32">
        <f t="shared" si="210"/>
        <v>9.9895825000000008E-2</v>
      </c>
      <c r="K881" s="33">
        <f t="shared" si="213"/>
        <v>1.498437375E-2</v>
      </c>
      <c r="L881" s="33"/>
      <c r="O881" s="2">
        <f t="shared" si="214"/>
        <v>1.8707083333333333E-2</v>
      </c>
      <c r="P881" s="2">
        <f t="shared" si="215"/>
        <v>13.469099999999999</v>
      </c>
      <c r="Q881" s="7">
        <f t="shared" si="216"/>
        <v>61.001358695652172</v>
      </c>
      <c r="R881" s="2">
        <v>1.2</v>
      </c>
      <c r="S881" s="2">
        <f t="shared" si="211"/>
        <v>4.45</v>
      </c>
      <c r="T881" s="2"/>
      <c r="U881" s="2"/>
      <c r="Y881" s="8">
        <f t="shared" si="212"/>
        <v>2.1716483695652173</v>
      </c>
    </row>
    <row r="882" spans="1:25" x14ac:dyDescent="0.25">
      <c r="A882" s="34">
        <f t="shared" si="223"/>
        <v>874</v>
      </c>
      <c r="B882" s="35" t="e">
        <f t="shared" si="223"/>
        <v>#REF!</v>
      </c>
      <c r="C882" s="40" t="s">
        <v>249</v>
      </c>
      <c r="D882" s="41" t="s">
        <v>253</v>
      </c>
      <c r="E882" s="35"/>
      <c r="F882" s="36">
        <f>149371/1000000</f>
        <v>0.149371</v>
      </c>
      <c r="G882" s="36">
        <f t="shared" si="224"/>
        <v>2.9426087000000004E-2</v>
      </c>
      <c r="H882" s="36">
        <f>61087/1000000</f>
        <v>6.1087000000000002E-2</v>
      </c>
      <c r="I882" s="37">
        <f t="shared" si="222"/>
        <v>9.1630500000000007E-3</v>
      </c>
      <c r="J882" s="32">
        <f t="shared" si="210"/>
        <v>0.13591857500000001</v>
      </c>
      <c r="K882" s="33">
        <f t="shared" si="213"/>
        <v>2.0387786250000001E-2</v>
      </c>
      <c r="L882" s="33"/>
      <c r="O882" s="2">
        <f t="shared" si="214"/>
        <v>2.5452916666666669E-2</v>
      </c>
      <c r="P882" s="2">
        <f t="shared" si="215"/>
        <v>18.3261</v>
      </c>
      <c r="Q882" s="7">
        <f t="shared" si="216"/>
        <v>82.998641304347828</v>
      </c>
      <c r="R882" s="2">
        <v>1.2</v>
      </c>
      <c r="S882" s="2">
        <f t="shared" si="211"/>
        <v>4.45</v>
      </c>
      <c r="T882" s="2"/>
      <c r="U882" s="2"/>
      <c r="Y882" s="8">
        <f t="shared" si="212"/>
        <v>2.9547516304347829</v>
      </c>
    </row>
    <row r="883" spans="1:25" x14ac:dyDescent="0.25">
      <c r="A883" s="34">
        <f t="shared" si="223"/>
        <v>875</v>
      </c>
      <c r="B883" s="35" t="e">
        <f t="shared" si="223"/>
        <v>#REF!</v>
      </c>
      <c r="C883" s="40" t="s">
        <v>249</v>
      </c>
      <c r="D883" s="41" t="s">
        <v>139</v>
      </c>
      <c r="E883" s="35"/>
      <c r="F883" s="36">
        <f>112911/1000000</f>
        <v>0.112911</v>
      </c>
      <c r="G883" s="36">
        <f t="shared" si="224"/>
        <v>2.2243466999999999E-2</v>
      </c>
      <c r="H883" s="36">
        <f>51521/1000000</f>
        <v>5.1520999999999997E-2</v>
      </c>
      <c r="I883" s="37">
        <f t="shared" si="222"/>
        <v>7.7281499999999996E-3</v>
      </c>
      <c r="J883" s="32">
        <f t="shared" si="210"/>
        <v>0.11463422500000002</v>
      </c>
      <c r="K883" s="33">
        <f t="shared" si="213"/>
        <v>1.7195133750000001E-2</v>
      </c>
      <c r="L883" s="33"/>
      <c r="O883" s="2">
        <f t="shared" si="214"/>
        <v>2.1467083333333335E-2</v>
      </c>
      <c r="P883" s="2">
        <f t="shared" si="215"/>
        <v>15.456300000000002</v>
      </c>
      <c r="Q883" s="7">
        <f t="shared" si="216"/>
        <v>70.001358695652186</v>
      </c>
      <c r="R883" s="2">
        <v>1.2</v>
      </c>
      <c r="S883" s="2">
        <f t="shared" si="211"/>
        <v>4.45</v>
      </c>
      <c r="T883" s="2"/>
      <c r="U883" s="2"/>
      <c r="Y883" s="8">
        <f t="shared" si="212"/>
        <v>2.492048369565218</v>
      </c>
    </row>
    <row r="884" spans="1:25" x14ac:dyDescent="0.25">
      <c r="A884" s="34">
        <f t="shared" si="223"/>
        <v>876</v>
      </c>
      <c r="B884" s="35" t="e">
        <f t="shared" si="223"/>
        <v>#REF!</v>
      </c>
      <c r="C884" s="40" t="s">
        <v>249</v>
      </c>
      <c r="D884" s="41" t="s">
        <v>141</v>
      </c>
      <c r="E884" s="35"/>
      <c r="F884" s="36">
        <f>122459/1000000</f>
        <v>0.122459</v>
      </c>
      <c r="G884" s="36">
        <f t="shared" si="224"/>
        <v>2.4124422999999999E-2</v>
      </c>
      <c r="H884" s="36">
        <f>55937/1000000</f>
        <v>5.5937000000000001E-2</v>
      </c>
      <c r="I884" s="37">
        <f t="shared" si="222"/>
        <v>8.3905500000000001E-3</v>
      </c>
      <c r="J884" s="32">
        <f t="shared" si="210"/>
        <v>0.12445982500000002</v>
      </c>
      <c r="K884" s="33">
        <f t="shared" si="213"/>
        <v>1.8668973750000002E-2</v>
      </c>
      <c r="L884" s="33"/>
      <c r="O884" s="2">
        <f t="shared" si="214"/>
        <v>2.3307083333333336E-2</v>
      </c>
      <c r="P884" s="2">
        <f t="shared" si="215"/>
        <v>16.781100000000002</v>
      </c>
      <c r="Q884" s="7">
        <f t="shared" si="216"/>
        <v>76.001358695652186</v>
      </c>
      <c r="R884" s="2">
        <v>1.2</v>
      </c>
      <c r="S884" s="2">
        <f t="shared" si="211"/>
        <v>4.45</v>
      </c>
      <c r="T884" s="2"/>
      <c r="U884" s="2"/>
      <c r="Y884" s="8">
        <f t="shared" si="212"/>
        <v>2.705648369565218</v>
      </c>
    </row>
    <row r="885" spans="1:25" x14ac:dyDescent="0.25">
      <c r="A885" s="34">
        <f t="shared" si="223"/>
        <v>877</v>
      </c>
      <c r="B885" s="35" t="e">
        <f t="shared" si="223"/>
        <v>#REF!</v>
      </c>
      <c r="C885" s="40" t="s">
        <v>249</v>
      </c>
      <c r="D885" s="41" t="s">
        <v>254</v>
      </c>
      <c r="E885" s="35"/>
      <c r="F885" s="36">
        <f>97617/1000000</f>
        <v>9.7616999999999995E-2</v>
      </c>
      <c r="G885" s="36">
        <f t="shared" si="224"/>
        <v>1.9230549E-2</v>
      </c>
      <c r="H885" s="36">
        <f>47839/1000000</f>
        <v>4.7839E-2</v>
      </c>
      <c r="I885" s="37">
        <f t="shared" si="222"/>
        <v>7.1758499999999992E-3</v>
      </c>
      <c r="J885" s="32">
        <f t="shared" si="210"/>
        <v>0.106441775</v>
      </c>
      <c r="K885" s="33">
        <f t="shared" si="213"/>
        <v>1.596626625E-2</v>
      </c>
      <c r="L885" s="33"/>
      <c r="O885" s="2">
        <f t="shared" si="214"/>
        <v>1.9932916666666668E-2</v>
      </c>
      <c r="P885" s="2">
        <f t="shared" si="215"/>
        <v>14.351700000000001</v>
      </c>
      <c r="Q885" s="7">
        <f t="shared" si="216"/>
        <v>64.998641304347828</v>
      </c>
      <c r="R885" s="2">
        <v>1.2</v>
      </c>
      <c r="S885" s="2">
        <f t="shared" si="211"/>
        <v>4.45</v>
      </c>
      <c r="T885" s="2"/>
      <c r="U885" s="2"/>
      <c r="Y885" s="8">
        <f t="shared" si="212"/>
        <v>2.3139516304347829</v>
      </c>
    </row>
    <row r="886" spans="1:25" x14ac:dyDescent="0.25">
      <c r="A886" s="34">
        <f t="shared" si="223"/>
        <v>878</v>
      </c>
      <c r="B886" s="35" t="e">
        <f t="shared" si="223"/>
        <v>#REF!</v>
      </c>
      <c r="C886" s="40" t="s">
        <v>249</v>
      </c>
      <c r="D886" s="41" t="s">
        <v>255</v>
      </c>
      <c r="E886" s="35"/>
      <c r="F886" s="36">
        <f>68981/1000000</f>
        <v>6.8981000000000001E-2</v>
      </c>
      <c r="G886" s="36">
        <f t="shared" si="224"/>
        <v>1.3589257E-2</v>
      </c>
      <c r="H886" s="36">
        <f>30914/1000000</f>
        <v>3.0914000000000001E-2</v>
      </c>
      <c r="I886" s="37">
        <f t="shared" si="222"/>
        <v>4.6370999999999999E-3</v>
      </c>
      <c r="J886" s="32">
        <f t="shared" si="210"/>
        <v>6.8783650000000002E-2</v>
      </c>
      <c r="K886" s="33">
        <f t="shared" si="213"/>
        <v>1.03175475E-2</v>
      </c>
      <c r="L886" s="33"/>
      <c r="O886" s="2">
        <f t="shared" si="214"/>
        <v>1.2880833333333334E-2</v>
      </c>
      <c r="P886" s="2">
        <f t="shared" si="215"/>
        <v>9.2742000000000004</v>
      </c>
      <c r="Q886" s="7">
        <f t="shared" si="216"/>
        <v>42.002717391304351</v>
      </c>
      <c r="R886" s="2">
        <v>1.2</v>
      </c>
      <c r="S886" s="2">
        <f t="shared" si="211"/>
        <v>4.45</v>
      </c>
      <c r="T886" s="2"/>
      <c r="U886" s="2"/>
      <c r="Y886" s="8">
        <f t="shared" si="212"/>
        <v>1.4952967391304348</v>
      </c>
    </row>
    <row r="887" spans="1:25" x14ac:dyDescent="0.25">
      <c r="A887" s="34">
        <f t="shared" si="223"/>
        <v>879</v>
      </c>
      <c r="B887" s="35" t="e">
        <f t="shared" si="223"/>
        <v>#REF!</v>
      </c>
      <c r="C887" s="40" t="s">
        <v>249</v>
      </c>
      <c r="D887" s="41" t="s">
        <v>256</v>
      </c>
      <c r="E887" s="35"/>
      <c r="F887" s="36">
        <f>73168/1000000</f>
        <v>7.3167999999999997E-2</v>
      </c>
      <c r="G887" s="36">
        <f t="shared" si="224"/>
        <v>1.4414096E-2</v>
      </c>
      <c r="H887" s="36">
        <f>29149/1000000</f>
        <v>2.9149000000000001E-2</v>
      </c>
      <c r="I887" s="37">
        <f t="shared" si="222"/>
        <v>4.3723499999999997E-3</v>
      </c>
      <c r="J887" s="32">
        <f t="shared" si="210"/>
        <v>6.4856525000000012E-2</v>
      </c>
      <c r="K887" s="33">
        <f t="shared" si="213"/>
        <v>9.7284787500000018E-3</v>
      </c>
      <c r="L887" s="33"/>
      <c r="O887" s="2">
        <f t="shared" si="214"/>
        <v>1.2145416666666667E-2</v>
      </c>
      <c r="P887" s="2">
        <f t="shared" si="215"/>
        <v>8.7447000000000017</v>
      </c>
      <c r="Q887" s="7">
        <f t="shared" si="216"/>
        <v>39.604619565217398</v>
      </c>
      <c r="R887" s="2">
        <v>1.2</v>
      </c>
      <c r="S887" s="2">
        <f t="shared" si="211"/>
        <v>4.45</v>
      </c>
      <c r="T887" s="2"/>
      <c r="U887" s="2"/>
      <c r="Y887" s="8">
        <f t="shared" si="212"/>
        <v>1.4099244565217393</v>
      </c>
    </row>
    <row r="888" spans="1:25" x14ac:dyDescent="0.25">
      <c r="A888" s="34">
        <f t="shared" si="223"/>
        <v>880</v>
      </c>
      <c r="B888" s="35" t="e">
        <f t="shared" si="223"/>
        <v>#REF!</v>
      </c>
      <c r="C888" s="40" t="s">
        <v>249</v>
      </c>
      <c r="D888" s="41" t="s">
        <v>257</v>
      </c>
      <c r="E888" s="35"/>
      <c r="F888" s="36">
        <v>0.1464</v>
      </c>
      <c r="G888" s="36">
        <v>2.8799999999999999E-2</v>
      </c>
      <c r="H888" s="36">
        <v>6.1100000000000002E-2</v>
      </c>
      <c r="I888" s="37">
        <v>9.1999999999999998E-3</v>
      </c>
      <c r="J888" s="32">
        <f t="shared" si="210"/>
        <v>0.1359475</v>
      </c>
      <c r="K888" s="33">
        <f t="shared" si="213"/>
        <v>2.0392125000000001E-2</v>
      </c>
      <c r="L888" s="33"/>
      <c r="O888" s="2">
        <f t="shared" si="214"/>
        <v>2.5458333333333336E-2</v>
      </c>
      <c r="P888" s="2">
        <f t="shared" si="215"/>
        <v>18.330000000000002</v>
      </c>
      <c r="Q888" s="7">
        <f t="shared" si="216"/>
        <v>83.016304347826093</v>
      </c>
      <c r="R888" s="2">
        <v>1.2</v>
      </c>
      <c r="S888" s="2">
        <f t="shared" si="211"/>
        <v>4.45</v>
      </c>
      <c r="T888" s="2"/>
      <c r="U888" s="2"/>
      <c r="Y888" s="8">
        <f t="shared" si="212"/>
        <v>2.9553804347826089</v>
      </c>
    </row>
    <row r="889" spans="1:25" x14ac:dyDescent="0.25">
      <c r="A889" s="34">
        <f t="shared" si="223"/>
        <v>881</v>
      </c>
      <c r="B889" s="35" t="e">
        <f>#REF!+1</f>
        <v>#REF!</v>
      </c>
      <c r="C889" s="40" t="s">
        <v>249</v>
      </c>
      <c r="D889" s="41" t="s">
        <v>258</v>
      </c>
      <c r="E889" s="35"/>
      <c r="F889" s="36">
        <f>99379/1000000</f>
        <v>9.9378999999999995E-2</v>
      </c>
      <c r="G889" s="36">
        <f t="shared" si="224"/>
        <v>1.9577662999999999E-2</v>
      </c>
      <c r="H889" s="36">
        <f>48576/1000000</f>
        <v>4.8576000000000001E-2</v>
      </c>
      <c r="I889" s="37">
        <f t="shared" si="222"/>
        <v>7.2864000000000002E-3</v>
      </c>
      <c r="J889" s="32">
        <f t="shared" si="210"/>
        <v>0.1080816</v>
      </c>
      <c r="K889" s="33">
        <f t="shared" si="213"/>
        <v>1.6212239999999999E-2</v>
      </c>
      <c r="L889" s="33"/>
      <c r="O889" s="2">
        <f t="shared" si="214"/>
        <v>2.0240000000000001E-2</v>
      </c>
      <c r="P889" s="2">
        <f t="shared" si="215"/>
        <v>14.572800000000001</v>
      </c>
      <c r="Q889" s="7">
        <f t="shared" si="216"/>
        <v>66</v>
      </c>
      <c r="R889" s="2">
        <v>1.2</v>
      </c>
      <c r="S889" s="2">
        <f t="shared" si="211"/>
        <v>4.45</v>
      </c>
      <c r="T889" s="2"/>
      <c r="U889" s="2"/>
      <c r="Y889" s="8">
        <f t="shared" si="212"/>
        <v>2.3495999999999997</v>
      </c>
    </row>
    <row r="890" spans="1:25" x14ac:dyDescent="0.25">
      <c r="A890" s="34">
        <f t="shared" si="223"/>
        <v>882</v>
      </c>
      <c r="B890" s="35" t="e">
        <f t="shared" si="223"/>
        <v>#REF!</v>
      </c>
      <c r="C890" s="40" t="s">
        <v>249</v>
      </c>
      <c r="D890" s="41" t="s">
        <v>259</v>
      </c>
      <c r="E890" s="35"/>
      <c r="F890" s="36">
        <v>0.249</v>
      </c>
      <c r="G890" s="36">
        <v>4.9099999999999998E-2</v>
      </c>
      <c r="H890" s="36">
        <v>0.1075</v>
      </c>
      <c r="I890" s="37">
        <v>1.61E-2</v>
      </c>
      <c r="J890" s="32">
        <f t="shared" si="210"/>
        <v>0.2391875</v>
      </c>
      <c r="K890" s="33">
        <f t="shared" si="213"/>
        <v>3.5878124999999997E-2</v>
      </c>
      <c r="L890" s="33"/>
      <c r="O890" s="2">
        <f t="shared" si="214"/>
        <v>4.4791666666666667E-2</v>
      </c>
      <c r="P890" s="2">
        <f t="shared" si="215"/>
        <v>32.25</v>
      </c>
      <c r="Q890" s="7">
        <f t="shared" si="216"/>
        <v>146.05978260869566</v>
      </c>
      <c r="R890" s="2">
        <v>1.2</v>
      </c>
      <c r="S890" s="2">
        <f t="shared" si="211"/>
        <v>4.45</v>
      </c>
      <c r="T890" s="2"/>
      <c r="U890" s="2"/>
      <c r="Y890" s="8">
        <f t="shared" si="212"/>
        <v>5.1997282608695654</v>
      </c>
    </row>
    <row r="891" spans="1:25" x14ac:dyDescent="0.25">
      <c r="A891" s="34">
        <f t="shared" si="223"/>
        <v>883</v>
      </c>
      <c r="B891" s="35" t="e">
        <f t="shared" si="223"/>
        <v>#REF!</v>
      </c>
      <c r="C891" s="40" t="s">
        <v>249</v>
      </c>
      <c r="D891" s="41" t="s">
        <v>260</v>
      </c>
      <c r="E891" s="35"/>
      <c r="F891" s="36">
        <f>96277/1000000</f>
        <v>9.6277000000000001E-2</v>
      </c>
      <c r="G891" s="36">
        <f t="shared" si="224"/>
        <v>1.8966569000000003E-2</v>
      </c>
      <c r="H891" s="36">
        <f>41218/1000000</f>
        <v>4.1217999999999998E-2</v>
      </c>
      <c r="I891" s="37">
        <f t="shared" si="222"/>
        <v>6.1826999999999993E-3</v>
      </c>
      <c r="J891" s="32">
        <f t="shared" si="210"/>
        <v>9.1710050000000001E-2</v>
      </c>
      <c r="K891" s="33">
        <f t="shared" si="213"/>
        <v>1.3756507499999999E-2</v>
      </c>
      <c r="L891" s="33"/>
      <c r="O891" s="2">
        <f t="shared" si="214"/>
        <v>1.7174166666666667E-2</v>
      </c>
      <c r="P891" s="2">
        <f t="shared" si="215"/>
        <v>12.365399999999999</v>
      </c>
      <c r="Q891" s="7">
        <f t="shared" si="216"/>
        <v>56.002717391304344</v>
      </c>
      <c r="R891" s="2">
        <v>1.2</v>
      </c>
      <c r="S891" s="2">
        <f t="shared" si="211"/>
        <v>4.45</v>
      </c>
      <c r="T891" s="2"/>
      <c r="U891" s="2"/>
      <c r="Y891" s="8">
        <f t="shared" si="212"/>
        <v>1.993696739130435</v>
      </c>
    </row>
    <row r="892" spans="1:25" x14ac:dyDescent="0.25">
      <c r="A892" s="34">
        <f t="shared" ref="A892:B907" si="225">A891+1</f>
        <v>884</v>
      </c>
      <c r="B892" s="35" t="e">
        <f t="shared" si="225"/>
        <v>#REF!</v>
      </c>
      <c r="C892" s="40" t="s">
        <v>249</v>
      </c>
      <c r="D892" s="41" t="s">
        <v>261</v>
      </c>
      <c r="E892" s="35"/>
      <c r="F892" s="36">
        <f>143517/1000000</f>
        <v>0.14351700000000001</v>
      </c>
      <c r="G892" s="36">
        <f t="shared" si="224"/>
        <v>2.8272849000000003E-2</v>
      </c>
      <c r="H892" s="36">
        <f>55200/1000000</f>
        <v>5.5199999999999999E-2</v>
      </c>
      <c r="I892" s="37">
        <f t="shared" si="222"/>
        <v>8.2799999999999992E-3</v>
      </c>
      <c r="J892" s="32">
        <f t="shared" si="210"/>
        <v>0.12282</v>
      </c>
      <c r="K892" s="33">
        <f t="shared" si="213"/>
        <v>1.8422999999999998E-2</v>
      </c>
      <c r="L892" s="33"/>
      <c r="O892" s="2">
        <f t="shared" si="214"/>
        <v>2.3E-2</v>
      </c>
      <c r="P892" s="2">
        <f t="shared" si="215"/>
        <v>16.560000000000002</v>
      </c>
      <c r="Q892" s="7">
        <f t="shared" si="216"/>
        <v>75.000000000000014</v>
      </c>
      <c r="R892" s="2">
        <v>1.2</v>
      </c>
      <c r="S892" s="2">
        <f t="shared" si="211"/>
        <v>4.45</v>
      </c>
      <c r="T892" s="2"/>
      <c r="U892" s="2"/>
      <c r="Y892" s="8">
        <f t="shared" si="212"/>
        <v>2.67</v>
      </c>
    </row>
    <row r="893" spans="1:25" x14ac:dyDescent="0.25">
      <c r="A893" s="34">
        <f t="shared" si="225"/>
        <v>885</v>
      </c>
      <c r="B893" s="35" t="e">
        <f t="shared" si="225"/>
        <v>#REF!</v>
      </c>
      <c r="C893" s="40" t="s">
        <v>249</v>
      </c>
      <c r="D893" s="41" t="s">
        <v>262</v>
      </c>
      <c r="E893" s="35"/>
      <c r="F893" s="36">
        <f>133659/1000000</f>
        <v>0.133659</v>
      </c>
      <c r="G893" s="36">
        <f t="shared" si="224"/>
        <v>2.6330823E-2</v>
      </c>
      <c r="H893" s="36">
        <f>52994/1000000</f>
        <v>5.2993999999999999E-2</v>
      </c>
      <c r="I893" s="37">
        <f t="shared" si="222"/>
        <v>7.9490999999999989E-3</v>
      </c>
      <c r="J893" s="32">
        <f t="shared" si="210"/>
        <v>0.11791165000000001</v>
      </c>
      <c r="K893" s="33">
        <f t="shared" si="213"/>
        <v>1.7686747499999999E-2</v>
      </c>
      <c r="L893" s="33"/>
      <c r="O893" s="2">
        <f t="shared" si="214"/>
        <v>2.2080833333333334E-2</v>
      </c>
      <c r="P893" s="2">
        <f t="shared" si="215"/>
        <v>15.898200000000003</v>
      </c>
      <c r="Q893" s="7">
        <f t="shared" si="216"/>
        <v>72.002717391304358</v>
      </c>
      <c r="R893" s="2">
        <v>1.2</v>
      </c>
      <c r="S893" s="2">
        <f t="shared" si="211"/>
        <v>4.45</v>
      </c>
      <c r="T893" s="2"/>
      <c r="U893" s="2"/>
      <c r="Y893" s="8">
        <f t="shared" si="212"/>
        <v>2.5632967391304349</v>
      </c>
    </row>
    <row r="894" spans="1:25" x14ac:dyDescent="0.25">
      <c r="A894" s="34">
        <f t="shared" si="225"/>
        <v>886</v>
      </c>
      <c r="B894" s="35" t="e">
        <f t="shared" si="225"/>
        <v>#REF!</v>
      </c>
      <c r="C894" s="40" t="s">
        <v>249</v>
      </c>
      <c r="D894" s="41" t="s">
        <v>263</v>
      </c>
      <c r="E894" s="35"/>
      <c r="F894" s="36">
        <f>141428/1000000</f>
        <v>0.141428</v>
      </c>
      <c r="G894" s="36">
        <f t="shared" si="224"/>
        <v>2.7861316000000001E-2</v>
      </c>
      <c r="H894" s="36">
        <f>72127/1000000</f>
        <v>7.2126999999999997E-2</v>
      </c>
      <c r="I894" s="37">
        <f t="shared" si="222"/>
        <v>1.0819049999999998E-2</v>
      </c>
      <c r="J894" s="32">
        <f t="shared" si="210"/>
        <v>0.16048257499999999</v>
      </c>
      <c r="K894" s="33">
        <f t="shared" si="213"/>
        <v>2.4072386249999998E-2</v>
      </c>
      <c r="L894" s="33"/>
      <c r="O894" s="2">
        <f t="shared" si="214"/>
        <v>3.0052916666666665E-2</v>
      </c>
      <c r="P894" s="2">
        <f t="shared" si="215"/>
        <v>21.638099999999998</v>
      </c>
      <c r="Q894" s="7">
        <f t="shared" si="216"/>
        <v>97.998641304347814</v>
      </c>
      <c r="R894" s="2">
        <v>1.2</v>
      </c>
      <c r="S894" s="2">
        <f t="shared" si="211"/>
        <v>4.45</v>
      </c>
      <c r="T894" s="2"/>
      <c r="U894" s="2"/>
      <c r="Y894" s="8">
        <f t="shared" si="212"/>
        <v>3.4887516304347823</v>
      </c>
    </row>
    <row r="895" spans="1:25" x14ac:dyDescent="0.25">
      <c r="A895" s="34">
        <f t="shared" si="225"/>
        <v>887</v>
      </c>
      <c r="B895" s="35" t="e">
        <f t="shared" si="225"/>
        <v>#REF!</v>
      </c>
      <c r="C895" s="40" t="s">
        <v>264</v>
      </c>
      <c r="D895" s="41" t="s">
        <v>67</v>
      </c>
      <c r="E895" s="35"/>
      <c r="F895" s="36">
        <f>119446/1000000</f>
        <v>0.119446</v>
      </c>
      <c r="G895" s="36">
        <f t="shared" si="224"/>
        <v>2.3530862E-2</v>
      </c>
      <c r="H895" s="36">
        <f>55936/1000000</f>
        <v>5.5936E-2</v>
      </c>
      <c r="I895" s="37">
        <f t="shared" si="222"/>
        <v>8.3903999999999992E-3</v>
      </c>
      <c r="J895" s="32">
        <f t="shared" si="210"/>
        <v>0.1244576</v>
      </c>
      <c r="K895" s="33">
        <f t="shared" si="213"/>
        <v>1.866864E-2</v>
      </c>
      <c r="L895" s="33"/>
      <c r="O895" s="2">
        <f t="shared" si="214"/>
        <v>2.3306666666666667E-2</v>
      </c>
      <c r="P895" s="2">
        <f t="shared" si="215"/>
        <v>16.780799999999999</v>
      </c>
      <c r="Q895" s="7">
        <f t="shared" si="216"/>
        <v>76</v>
      </c>
      <c r="R895" s="2">
        <v>1.2</v>
      </c>
      <c r="S895" s="2">
        <f t="shared" si="211"/>
        <v>4.45</v>
      </c>
      <c r="T895" s="2"/>
      <c r="U895" s="2"/>
      <c r="Y895" s="8">
        <f t="shared" si="212"/>
        <v>2.7056</v>
      </c>
    </row>
    <row r="896" spans="1:25" x14ac:dyDescent="0.25">
      <c r="A896" s="34">
        <f t="shared" si="225"/>
        <v>888</v>
      </c>
      <c r="B896" s="35" t="e">
        <f t="shared" si="225"/>
        <v>#REF!</v>
      </c>
      <c r="C896" s="40" t="s">
        <v>264</v>
      </c>
      <c r="D896" s="41" t="s">
        <v>138</v>
      </c>
      <c r="E896" s="35"/>
      <c r="F896" s="36">
        <f>121984/1000000</f>
        <v>0.121984</v>
      </c>
      <c r="G896" s="36">
        <f t="shared" si="224"/>
        <v>2.4030848E-2</v>
      </c>
      <c r="H896" s="36">
        <f>59616/1000000</f>
        <v>5.9616000000000002E-2</v>
      </c>
      <c r="I896" s="37">
        <f t="shared" si="222"/>
        <v>8.9423999999999997E-3</v>
      </c>
      <c r="J896" s="32">
        <f t="shared" si="210"/>
        <v>0.1326456</v>
      </c>
      <c r="K896" s="33">
        <f t="shared" si="213"/>
        <v>1.9896839999999999E-2</v>
      </c>
      <c r="L896" s="33"/>
      <c r="O896" s="2">
        <f t="shared" si="214"/>
        <v>2.4840000000000001E-2</v>
      </c>
      <c r="P896" s="2">
        <f t="shared" si="215"/>
        <v>17.884800000000002</v>
      </c>
      <c r="Q896" s="7">
        <f t="shared" si="216"/>
        <v>81.000000000000014</v>
      </c>
      <c r="R896" s="2">
        <v>1.2</v>
      </c>
      <c r="S896" s="2">
        <f t="shared" si="211"/>
        <v>4.45</v>
      </c>
      <c r="T896" s="2"/>
      <c r="U896" s="2"/>
      <c r="Y896" s="8">
        <f t="shared" si="212"/>
        <v>2.8835999999999999</v>
      </c>
    </row>
    <row r="897" spans="1:25" x14ac:dyDescent="0.25">
      <c r="A897" s="34">
        <f t="shared" si="225"/>
        <v>889</v>
      </c>
      <c r="B897" s="35">
        <v>1</v>
      </c>
      <c r="C897" s="42" t="s">
        <v>265</v>
      </c>
      <c r="D897" s="44" t="s">
        <v>170</v>
      </c>
      <c r="E897" s="43">
        <v>1</v>
      </c>
      <c r="F897" s="36">
        <v>0.1482</v>
      </c>
      <c r="G897" s="36">
        <v>2.91954E-2</v>
      </c>
      <c r="H897" s="36">
        <v>5.7700000000000001E-2</v>
      </c>
      <c r="I897" s="37">
        <v>8.6549999999999995E-3</v>
      </c>
      <c r="J897" s="32">
        <f t="shared" si="210"/>
        <v>0.12838250000000001</v>
      </c>
      <c r="K897" s="33">
        <f t="shared" si="213"/>
        <v>1.9257375E-2</v>
      </c>
      <c r="L897" s="33"/>
      <c r="O897" s="2">
        <f t="shared" si="214"/>
        <v>2.404166666666667E-2</v>
      </c>
      <c r="P897" s="2">
        <f t="shared" si="215"/>
        <v>17.310000000000002</v>
      </c>
      <c r="Q897" s="7">
        <f t="shared" si="216"/>
        <v>78.396739130434796</v>
      </c>
      <c r="R897" s="2">
        <v>1.2</v>
      </c>
      <c r="S897" s="2">
        <f t="shared" si="211"/>
        <v>4.45</v>
      </c>
      <c r="T897" s="2"/>
      <c r="U897" s="2"/>
      <c r="Y897" s="8">
        <f t="shared" si="212"/>
        <v>2.7909239130434784</v>
      </c>
    </row>
    <row r="898" spans="1:25" x14ac:dyDescent="0.25">
      <c r="A898" s="34">
        <f t="shared" si="225"/>
        <v>890</v>
      </c>
      <c r="B898" s="35">
        <f t="shared" si="225"/>
        <v>2</v>
      </c>
      <c r="C898" s="42" t="s">
        <v>265</v>
      </c>
      <c r="D898" s="44" t="s">
        <v>170</v>
      </c>
      <c r="E898" s="43">
        <v>2</v>
      </c>
      <c r="F898" s="36">
        <v>0.1482</v>
      </c>
      <c r="G898" s="36">
        <v>2.91954E-2</v>
      </c>
      <c r="H898" s="36">
        <v>5.7700000000000001E-2</v>
      </c>
      <c r="I898" s="37">
        <v>8.6549999999999995E-3</v>
      </c>
      <c r="J898" s="32">
        <f t="shared" si="210"/>
        <v>0.12838250000000001</v>
      </c>
      <c r="K898" s="33">
        <f t="shared" si="213"/>
        <v>1.9257375E-2</v>
      </c>
      <c r="L898" s="33"/>
      <c r="O898" s="2">
        <f t="shared" si="214"/>
        <v>2.404166666666667E-2</v>
      </c>
      <c r="P898" s="2">
        <f t="shared" si="215"/>
        <v>17.310000000000002</v>
      </c>
      <c r="Q898" s="7">
        <f t="shared" si="216"/>
        <v>78.396739130434796</v>
      </c>
      <c r="R898" s="2">
        <v>1.2</v>
      </c>
      <c r="S898" s="2">
        <f t="shared" si="211"/>
        <v>4.45</v>
      </c>
      <c r="T898" s="2"/>
      <c r="U898" s="2"/>
      <c r="Y898" s="8">
        <f t="shared" si="212"/>
        <v>2.7909239130434784</v>
      </c>
    </row>
    <row r="899" spans="1:25" x14ac:dyDescent="0.25">
      <c r="A899" s="34">
        <f t="shared" si="225"/>
        <v>891</v>
      </c>
      <c r="B899" s="35">
        <f t="shared" si="225"/>
        <v>3</v>
      </c>
      <c r="C899" s="42" t="s">
        <v>265</v>
      </c>
      <c r="D899" s="44" t="s">
        <v>41</v>
      </c>
      <c r="E899" s="43"/>
      <c r="F899" s="36">
        <v>0.1862</v>
      </c>
      <c r="G899" s="36">
        <v>3.6681400000000003E-2</v>
      </c>
      <c r="H899" s="36">
        <v>6.0299999999999999E-2</v>
      </c>
      <c r="I899" s="37">
        <v>9.0449999999999992E-3</v>
      </c>
      <c r="J899" s="32">
        <f t="shared" si="210"/>
        <v>0.1341675</v>
      </c>
      <c r="K899" s="33">
        <f t="shared" si="213"/>
        <v>2.0125124999999997E-2</v>
      </c>
      <c r="L899" s="33"/>
      <c r="O899" s="2">
        <f t="shared" si="214"/>
        <v>2.5125000000000001E-2</v>
      </c>
      <c r="P899" s="2">
        <f t="shared" si="215"/>
        <v>18.09</v>
      </c>
      <c r="Q899" s="7">
        <f t="shared" si="216"/>
        <v>81.929347826086953</v>
      </c>
      <c r="R899" s="2">
        <v>1.2</v>
      </c>
      <c r="S899" s="2">
        <f t="shared" si="211"/>
        <v>4.45</v>
      </c>
      <c r="T899" s="2"/>
      <c r="U899" s="2"/>
      <c r="Y899" s="8">
        <f t="shared" si="212"/>
        <v>2.9166847826086952</v>
      </c>
    </row>
    <row r="900" spans="1:25" x14ac:dyDescent="0.25">
      <c r="A900" s="34">
        <f t="shared" si="225"/>
        <v>892</v>
      </c>
      <c r="B900" s="35">
        <f t="shared" si="225"/>
        <v>4</v>
      </c>
      <c r="C900" s="42" t="s">
        <v>265</v>
      </c>
      <c r="D900" s="44" t="s">
        <v>43</v>
      </c>
      <c r="E900" s="43">
        <v>1</v>
      </c>
      <c r="F900" s="36">
        <v>0.22120000000000001</v>
      </c>
      <c r="G900" s="36">
        <v>4.3576400000000001E-2</v>
      </c>
      <c r="H900" s="36">
        <v>8.3099999999999993E-2</v>
      </c>
      <c r="I900" s="37">
        <v>1.2465E-2</v>
      </c>
      <c r="J900" s="32">
        <f t="shared" si="210"/>
        <v>0.18489749999999999</v>
      </c>
      <c r="K900" s="33">
        <f t="shared" si="213"/>
        <v>2.7734624999999999E-2</v>
      </c>
      <c r="L900" s="33"/>
      <c r="O900" s="2">
        <f t="shared" si="214"/>
        <v>3.4624999999999996E-2</v>
      </c>
      <c r="P900" s="2">
        <f t="shared" si="215"/>
        <v>24.93</v>
      </c>
      <c r="Q900" s="7">
        <f t="shared" si="216"/>
        <v>112.90760869565217</v>
      </c>
      <c r="R900" s="2">
        <v>1.2</v>
      </c>
      <c r="S900" s="2">
        <f t="shared" si="211"/>
        <v>4.45</v>
      </c>
      <c r="T900" s="2"/>
      <c r="U900" s="2"/>
      <c r="Y900" s="8">
        <f t="shared" si="212"/>
        <v>4.0195108695652175</v>
      </c>
    </row>
    <row r="901" spans="1:25" x14ac:dyDescent="0.25">
      <c r="A901" s="34">
        <f t="shared" si="225"/>
        <v>893</v>
      </c>
      <c r="B901" s="35">
        <f t="shared" si="225"/>
        <v>5</v>
      </c>
      <c r="C901" s="42" t="s">
        <v>265</v>
      </c>
      <c r="D901" s="44" t="s">
        <v>43</v>
      </c>
      <c r="E901" s="43">
        <v>2</v>
      </c>
      <c r="F901" s="36">
        <v>0.22120000000000001</v>
      </c>
      <c r="G901" s="36">
        <v>4.3576400000000001E-2</v>
      </c>
      <c r="H901" s="36">
        <v>8.3099999999999993E-2</v>
      </c>
      <c r="I901" s="37">
        <v>1.2465E-2</v>
      </c>
      <c r="J901" s="32">
        <f t="shared" si="210"/>
        <v>0.18489749999999999</v>
      </c>
      <c r="K901" s="33">
        <f t="shared" si="213"/>
        <v>2.7734624999999999E-2</v>
      </c>
      <c r="L901" s="33"/>
      <c r="O901" s="2">
        <f t="shared" si="214"/>
        <v>3.4624999999999996E-2</v>
      </c>
      <c r="P901" s="2">
        <f t="shared" si="215"/>
        <v>24.93</v>
      </c>
      <c r="Q901" s="7">
        <f t="shared" si="216"/>
        <v>112.90760869565217</v>
      </c>
      <c r="R901" s="2">
        <v>1.2</v>
      </c>
      <c r="S901" s="2">
        <f t="shared" si="211"/>
        <v>4.45</v>
      </c>
      <c r="T901" s="2"/>
      <c r="U901" s="2"/>
      <c r="Y901" s="8">
        <f t="shared" si="212"/>
        <v>4.0195108695652175</v>
      </c>
    </row>
    <row r="902" spans="1:25" x14ac:dyDescent="0.25">
      <c r="A902" s="34">
        <f t="shared" si="225"/>
        <v>894</v>
      </c>
      <c r="B902" s="35">
        <f t="shared" si="225"/>
        <v>6</v>
      </c>
      <c r="C902" s="42" t="s">
        <v>265</v>
      </c>
      <c r="D902" s="41" t="s">
        <v>82</v>
      </c>
      <c r="E902" s="35">
        <v>1</v>
      </c>
      <c r="F902" s="36">
        <v>0.14779999999999999</v>
      </c>
      <c r="G902" s="36">
        <f>F902*0.197</f>
        <v>2.9116599999999999E-2</v>
      </c>
      <c r="H902" s="36">
        <v>5.0700000000000002E-2</v>
      </c>
      <c r="I902" s="37">
        <f>H902*0.15</f>
        <v>7.6049999999999998E-3</v>
      </c>
      <c r="J902" s="32">
        <f t="shared" si="210"/>
        <v>0.1128075</v>
      </c>
      <c r="K902" s="33">
        <f t="shared" si="213"/>
        <v>1.6921124999999999E-2</v>
      </c>
      <c r="L902" s="33"/>
      <c r="O902" s="2">
        <f t="shared" si="214"/>
        <v>2.1125000000000001E-2</v>
      </c>
      <c r="P902" s="2">
        <f t="shared" si="215"/>
        <v>15.21</v>
      </c>
      <c r="Q902" s="7">
        <f t="shared" si="216"/>
        <v>68.885869565217391</v>
      </c>
      <c r="R902" s="2">
        <v>1.2</v>
      </c>
      <c r="S902" s="2">
        <f t="shared" si="211"/>
        <v>4.45</v>
      </c>
      <c r="T902" s="2"/>
      <c r="U902" s="2"/>
      <c r="Y902" s="8">
        <f t="shared" si="212"/>
        <v>2.4523369565217394</v>
      </c>
    </row>
    <row r="903" spans="1:25" x14ac:dyDescent="0.25">
      <c r="A903" s="34">
        <f t="shared" si="225"/>
        <v>895</v>
      </c>
      <c r="B903" s="35">
        <f t="shared" si="225"/>
        <v>7</v>
      </c>
      <c r="C903" s="42" t="s">
        <v>265</v>
      </c>
      <c r="D903" s="41" t="s">
        <v>82</v>
      </c>
      <c r="E903" s="35">
        <v>2</v>
      </c>
      <c r="F903" s="36">
        <v>0.14779999999999999</v>
      </c>
      <c r="G903" s="36">
        <f>F903*0.197</f>
        <v>2.9116599999999999E-2</v>
      </c>
      <c r="H903" s="36">
        <v>5.0700000000000002E-2</v>
      </c>
      <c r="I903" s="37">
        <f>H903*0.15</f>
        <v>7.6049999999999998E-3</v>
      </c>
      <c r="J903" s="32">
        <f t="shared" si="210"/>
        <v>0.1128075</v>
      </c>
      <c r="K903" s="33">
        <f t="shared" si="213"/>
        <v>1.6921124999999999E-2</v>
      </c>
      <c r="L903" s="33"/>
      <c r="O903" s="2">
        <f t="shared" si="214"/>
        <v>2.1125000000000001E-2</v>
      </c>
      <c r="P903" s="2">
        <f t="shared" si="215"/>
        <v>15.21</v>
      </c>
      <c r="Q903" s="7">
        <f t="shared" si="216"/>
        <v>68.885869565217391</v>
      </c>
      <c r="R903" s="2">
        <v>1.2</v>
      </c>
      <c r="S903" s="2">
        <f t="shared" si="211"/>
        <v>4.45</v>
      </c>
      <c r="T903" s="2"/>
      <c r="U903" s="2"/>
      <c r="Y903" s="8">
        <f t="shared" si="212"/>
        <v>2.4523369565217394</v>
      </c>
    </row>
    <row r="904" spans="1:25" x14ac:dyDescent="0.25">
      <c r="A904" s="34">
        <f t="shared" si="225"/>
        <v>896</v>
      </c>
      <c r="B904" s="35">
        <f t="shared" si="225"/>
        <v>8</v>
      </c>
      <c r="C904" s="42" t="s">
        <v>265</v>
      </c>
      <c r="D904" s="44" t="s">
        <v>47</v>
      </c>
      <c r="E904" s="43">
        <v>1</v>
      </c>
      <c r="F904" s="36">
        <v>0.14599999999999999</v>
      </c>
      <c r="G904" s="36">
        <v>2.8761999999999999E-2</v>
      </c>
      <c r="H904" s="36">
        <v>5.45E-2</v>
      </c>
      <c r="I904" s="37">
        <v>8.175E-3</v>
      </c>
      <c r="J904" s="32">
        <f t="shared" si="210"/>
        <v>0.12126250000000001</v>
      </c>
      <c r="K904" s="33">
        <f t="shared" si="213"/>
        <v>1.8189375000000001E-2</v>
      </c>
      <c r="L904" s="33"/>
      <c r="O904" s="2">
        <f t="shared" si="214"/>
        <v>2.2708333333333334E-2</v>
      </c>
      <c r="P904" s="2">
        <f t="shared" si="215"/>
        <v>16.350000000000001</v>
      </c>
      <c r="Q904" s="7">
        <f t="shared" si="216"/>
        <v>74.048913043478265</v>
      </c>
      <c r="R904" s="2">
        <v>1.2</v>
      </c>
      <c r="S904" s="2">
        <f t="shared" si="211"/>
        <v>4.45</v>
      </c>
      <c r="T904" s="2"/>
      <c r="U904" s="2"/>
      <c r="Y904" s="8">
        <f t="shared" si="212"/>
        <v>2.6361413043478263</v>
      </c>
    </row>
    <row r="905" spans="1:25" x14ac:dyDescent="0.25">
      <c r="A905" s="34">
        <f t="shared" si="225"/>
        <v>897</v>
      </c>
      <c r="B905" s="35">
        <f t="shared" si="225"/>
        <v>9</v>
      </c>
      <c r="C905" s="42" t="s">
        <v>265</v>
      </c>
      <c r="D905" s="44" t="s">
        <v>47</v>
      </c>
      <c r="E905" s="43">
        <v>2</v>
      </c>
      <c r="F905" s="36">
        <v>0.14949999999999999</v>
      </c>
      <c r="G905" s="36">
        <v>2.9451499999999999E-2</v>
      </c>
      <c r="H905" s="36">
        <v>5.5800000000000002E-2</v>
      </c>
      <c r="I905" s="37">
        <v>8.3700000000000007E-3</v>
      </c>
      <c r="J905" s="32">
        <f t="shared" ref="J905:J968" si="226">O905*R905*S905</f>
        <v>0.12415500000000003</v>
      </c>
      <c r="K905" s="33">
        <f t="shared" si="213"/>
        <v>1.8623250000000004E-2</v>
      </c>
      <c r="L905" s="33"/>
      <c r="O905" s="2">
        <f t="shared" si="214"/>
        <v>2.3250000000000003E-2</v>
      </c>
      <c r="P905" s="2">
        <f t="shared" si="215"/>
        <v>16.740000000000002</v>
      </c>
      <c r="Q905" s="7">
        <f t="shared" si="216"/>
        <v>75.815217391304358</v>
      </c>
      <c r="R905" s="2">
        <v>1.2</v>
      </c>
      <c r="S905" s="2">
        <f t="shared" ref="S905:S968" si="227">IF(Q905&lt;=$AE$6,$AF$6,IF(Q905&lt;=$AE$7,$AF$7,IF(Q905&lt;=$AE$8,$AF$8,IF(Q905&lt;=$AE$9,$AF$9,IF(Q905&lt;=$AE$10,$AF$10,0)))))</f>
        <v>4.45</v>
      </c>
      <c r="T905" s="2"/>
      <c r="U905" s="2"/>
      <c r="Y905" s="8">
        <f t="shared" ref="Y905:Y968" si="228">J905/46*1000</f>
        <v>2.6990217391304356</v>
      </c>
    </row>
    <row r="906" spans="1:25" x14ac:dyDescent="0.25">
      <c r="A906" s="34">
        <f t="shared" si="225"/>
        <v>898</v>
      </c>
      <c r="B906" s="35">
        <f t="shared" si="225"/>
        <v>10</v>
      </c>
      <c r="C906" s="42" t="s">
        <v>265</v>
      </c>
      <c r="D906" s="41" t="s">
        <v>48</v>
      </c>
      <c r="E906" s="35">
        <v>1</v>
      </c>
      <c r="F906" s="36">
        <v>0.12859999999999999</v>
      </c>
      <c r="G906" s="36">
        <f>F906*0.197</f>
        <v>2.5334200000000001E-2</v>
      </c>
      <c r="H906" s="36">
        <v>4.3799999999999999E-2</v>
      </c>
      <c r="I906" s="37">
        <f t="shared" ref="I906:I917" si="229">H906*0.15</f>
        <v>6.5699999999999995E-3</v>
      </c>
      <c r="J906" s="32">
        <f t="shared" si="226"/>
        <v>9.7455E-2</v>
      </c>
      <c r="K906" s="33">
        <f t="shared" ref="K906:K969" si="230">J906*0.15</f>
        <v>1.4618249999999999E-2</v>
      </c>
      <c r="L906" s="33"/>
      <c r="O906" s="2">
        <f t="shared" si="214"/>
        <v>1.8249999999999999E-2</v>
      </c>
      <c r="P906" s="2">
        <f t="shared" si="215"/>
        <v>13.139999999999999</v>
      </c>
      <c r="Q906" s="7">
        <f t="shared" si="216"/>
        <v>59.510869565217384</v>
      </c>
      <c r="R906" s="2">
        <v>1.2</v>
      </c>
      <c r="S906" s="2">
        <f t="shared" si="227"/>
        <v>4.45</v>
      </c>
      <c r="T906" s="2"/>
      <c r="U906" s="2"/>
      <c r="Y906" s="8">
        <f t="shared" si="228"/>
        <v>2.1185869565217388</v>
      </c>
    </row>
    <row r="907" spans="1:25" x14ac:dyDescent="0.25">
      <c r="A907" s="34">
        <f t="shared" si="225"/>
        <v>899</v>
      </c>
      <c r="B907" s="35">
        <f t="shared" si="225"/>
        <v>11</v>
      </c>
      <c r="C907" s="42" t="s">
        <v>265</v>
      </c>
      <c r="D907" s="41" t="s">
        <v>48</v>
      </c>
      <c r="E907" s="35">
        <v>2</v>
      </c>
      <c r="F907" s="36">
        <v>0.12859999999999999</v>
      </c>
      <c r="G907" s="36">
        <f>F907*0.197</f>
        <v>2.5334200000000001E-2</v>
      </c>
      <c r="H907" s="36">
        <v>4.3799999999999999E-2</v>
      </c>
      <c r="I907" s="37">
        <f t="shared" si="229"/>
        <v>6.5699999999999995E-3</v>
      </c>
      <c r="J907" s="32">
        <f t="shared" si="226"/>
        <v>9.7455E-2</v>
      </c>
      <c r="K907" s="33">
        <f t="shared" si="230"/>
        <v>1.4618249999999999E-2</v>
      </c>
      <c r="L907" s="33"/>
      <c r="O907" s="2">
        <f t="shared" ref="O907:O970" si="231">H907/2.4</f>
        <v>1.8249999999999999E-2</v>
      </c>
      <c r="P907" s="2">
        <f t="shared" ref="P907:P970" si="232">O907*24*30</f>
        <v>13.139999999999999</v>
      </c>
      <c r="Q907" s="7">
        <f t="shared" ref="Q907:Q970" si="233">P907/0.2208</f>
        <v>59.510869565217384</v>
      </c>
      <c r="R907" s="2">
        <v>1.2</v>
      </c>
      <c r="S907" s="2">
        <f t="shared" si="227"/>
        <v>4.45</v>
      </c>
      <c r="T907" s="2"/>
      <c r="U907" s="2"/>
      <c r="Y907" s="8">
        <f t="shared" si="228"/>
        <v>2.1185869565217388</v>
      </c>
    </row>
    <row r="908" spans="1:25" x14ac:dyDescent="0.25">
      <c r="A908" s="34">
        <f t="shared" ref="A908:B923" si="234">A907+1</f>
        <v>900</v>
      </c>
      <c r="B908" s="35">
        <f t="shared" si="234"/>
        <v>12</v>
      </c>
      <c r="C908" s="42" t="s">
        <v>265</v>
      </c>
      <c r="D908" s="41" t="s">
        <v>50</v>
      </c>
      <c r="E908" s="35"/>
      <c r="F908" s="36">
        <v>0.33750000000000002</v>
      </c>
      <c r="G908" s="36">
        <f>F908*0.197</f>
        <v>6.6487500000000005E-2</v>
      </c>
      <c r="H908" s="36">
        <v>0.17419999999999999</v>
      </c>
      <c r="I908" s="37">
        <f t="shared" si="229"/>
        <v>2.6129999999999997E-2</v>
      </c>
      <c r="J908" s="32">
        <f t="shared" si="226"/>
        <v>0.32227</v>
      </c>
      <c r="K908" s="33">
        <f t="shared" si="230"/>
        <v>4.8340500000000002E-2</v>
      </c>
      <c r="L908" s="33"/>
      <c r="O908" s="2">
        <f t="shared" si="231"/>
        <v>7.2583333333333333E-2</v>
      </c>
      <c r="P908" s="2">
        <f t="shared" si="232"/>
        <v>52.26</v>
      </c>
      <c r="Q908" s="7">
        <f t="shared" si="233"/>
        <v>236.68478260869566</v>
      </c>
      <c r="R908" s="2">
        <v>1.2</v>
      </c>
      <c r="S908" s="2">
        <f t="shared" si="227"/>
        <v>3.7</v>
      </c>
      <c r="T908" s="2"/>
      <c r="U908" s="2"/>
      <c r="Y908" s="8">
        <f t="shared" si="228"/>
        <v>7.0058695652173917</v>
      </c>
    </row>
    <row r="909" spans="1:25" x14ac:dyDescent="0.25">
      <c r="A909" s="34">
        <f t="shared" si="234"/>
        <v>901</v>
      </c>
      <c r="B909" s="35">
        <f t="shared" si="234"/>
        <v>13</v>
      </c>
      <c r="C909" s="42" t="s">
        <v>265</v>
      </c>
      <c r="D909" s="43">
        <v>9</v>
      </c>
      <c r="E909" s="43"/>
      <c r="F909" s="36">
        <v>0.17019999999999999</v>
      </c>
      <c r="G909" s="36">
        <v>3.3529400000000001E-2</v>
      </c>
      <c r="H909" s="36">
        <v>8.8999999999999996E-2</v>
      </c>
      <c r="I909" s="37">
        <f t="shared" si="229"/>
        <v>1.3349999999999999E-2</v>
      </c>
      <c r="J909" s="32">
        <f t="shared" si="226"/>
        <v>0.19802500000000003</v>
      </c>
      <c r="K909" s="33">
        <f t="shared" si="230"/>
        <v>2.9703750000000004E-2</v>
      </c>
      <c r="L909" s="33"/>
      <c r="O909" s="2">
        <f t="shared" si="231"/>
        <v>3.7083333333333336E-2</v>
      </c>
      <c r="P909" s="2">
        <f t="shared" si="232"/>
        <v>26.700000000000003</v>
      </c>
      <c r="Q909" s="7">
        <f t="shared" si="233"/>
        <v>120.92391304347828</v>
      </c>
      <c r="R909" s="2">
        <v>1.2</v>
      </c>
      <c r="S909" s="2">
        <f t="shared" si="227"/>
        <v>4.45</v>
      </c>
      <c r="T909" s="2"/>
      <c r="U909" s="2"/>
      <c r="Y909" s="8">
        <f t="shared" si="228"/>
        <v>4.3048913043478274</v>
      </c>
    </row>
    <row r="910" spans="1:25" x14ac:dyDescent="0.25">
      <c r="A910" s="34">
        <f t="shared" si="234"/>
        <v>902</v>
      </c>
      <c r="B910" s="35">
        <f t="shared" si="234"/>
        <v>14</v>
      </c>
      <c r="C910" s="42" t="s">
        <v>265</v>
      </c>
      <c r="D910" s="43">
        <v>10</v>
      </c>
      <c r="E910" s="43"/>
      <c r="F910" s="36">
        <v>0.19850000000000001</v>
      </c>
      <c r="G910" s="36">
        <v>3.91045E-2</v>
      </c>
      <c r="H910" s="36">
        <v>8.9399999999999993E-2</v>
      </c>
      <c r="I910" s="37">
        <f t="shared" si="229"/>
        <v>1.3409999999999998E-2</v>
      </c>
      <c r="J910" s="32">
        <f t="shared" si="226"/>
        <v>0.19891499999999998</v>
      </c>
      <c r="K910" s="33">
        <f t="shared" si="230"/>
        <v>2.9837249999999996E-2</v>
      </c>
      <c r="L910" s="33"/>
      <c r="O910" s="2">
        <f t="shared" si="231"/>
        <v>3.7249999999999998E-2</v>
      </c>
      <c r="P910" s="2">
        <f t="shared" si="232"/>
        <v>26.819999999999997</v>
      </c>
      <c r="Q910" s="7">
        <f t="shared" si="233"/>
        <v>121.46739130434781</v>
      </c>
      <c r="R910" s="2">
        <v>1.2</v>
      </c>
      <c r="S910" s="2">
        <f t="shared" si="227"/>
        <v>4.45</v>
      </c>
      <c r="T910" s="2"/>
      <c r="U910" s="2"/>
      <c r="Y910" s="8">
        <f t="shared" si="228"/>
        <v>4.3242391304347825</v>
      </c>
    </row>
    <row r="911" spans="1:25" x14ac:dyDescent="0.25">
      <c r="A911" s="34">
        <f t="shared" si="234"/>
        <v>903</v>
      </c>
      <c r="B911" s="35">
        <f t="shared" si="234"/>
        <v>15</v>
      </c>
      <c r="C911" s="42" t="s">
        <v>265</v>
      </c>
      <c r="D911" s="43">
        <v>16</v>
      </c>
      <c r="E911" s="43"/>
      <c r="F911" s="36">
        <v>0.1716</v>
      </c>
      <c r="G911" s="36">
        <v>3.3805200000000001E-2</v>
      </c>
      <c r="H911" s="36">
        <v>7.4999999999999997E-2</v>
      </c>
      <c r="I911" s="37">
        <f t="shared" si="229"/>
        <v>1.125E-2</v>
      </c>
      <c r="J911" s="32">
        <f t="shared" si="226"/>
        <v>0.166875</v>
      </c>
      <c r="K911" s="33">
        <f t="shared" si="230"/>
        <v>2.5031249999999998E-2</v>
      </c>
      <c r="L911" s="33"/>
      <c r="O911" s="2">
        <f t="shared" si="231"/>
        <v>3.125E-2</v>
      </c>
      <c r="P911" s="2">
        <f t="shared" si="232"/>
        <v>22.5</v>
      </c>
      <c r="Q911" s="7">
        <f t="shared" si="233"/>
        <v>101.90217391304348</v>
      </c>
      <c r="R911" s="2">
        <v>1.2</v>
      </c>
      <c r="S911" s="2">
        <f t="shared" si="227"/>
        <v>4.45</v>
      </c>
      <c r="T911" s="2"/>
      <c r="U911" s="2"/>
      <c r="Y911" s="8">
        <f t="shared" si="228"/>
        <v>3.6277173913043477</v>
      </c>
    </row>
    <row r="912" spans="1:25" x14ac:dyDescent="0.25">
      <c r="A912" s="34">
        <f t="shared" si="234"/>
        <v>904</v>
      </c>
      <c r="B912" s="35">
        <f t="shared" si="234"/>
        <v>16</v>
      </c>
      <c r="C912" s="42" t="s">
        <v>265</v>
      </c>
      <c r="D912" s="35">
        <v>17</v>
      </c>
      <c r="E912" s="35"/>
      <c r="F912" s="36">
        <v>0.17449999999999999</v>
      </c>
      <c r="G912" s="36">
        <f>F912*0.197</f>
        <v>3.4376499999999997E-2</v>
      </c>
      <c r="H912" s="36">
        <v>8.8300000000000003E-2</v>
      </c>
      <c r="I912" s="37">
        <f t="shared" si="229"/>
        <v>1.3245E-2</v>
      </c>
      <c r="J912" s="32">
        <f t="shared" si="226"/>
        <v>0.19646750000000002</v>
      </c>
      <c r="K912" s="33">
        <f t="shared" si="230"/>
        <v>2.9470125E-2</v>
      </c>
      <c r="L912" s="33"/>
      <c r="O912" s="2">
        <f t="shared" si="231"/>
        <v>3.6791666666666667E-2</v>
      </c>
      <c r="P912" s="2">
        <f t="shared" si="232"/>
        <v>26.490000000000002</v>
      </c>
      <c r="Q912" s="7">
        <f t="shared" si="233"/>
        <v>119.97282608695653</v>
      </c>
      <c r="R912" s="2">
        <v>1.2</v>
      </c>
      <c r="S912" s="2">
        <f t="shared" si="227"/>
        <v>4.45</v>
      </c>
      <c r="T912" s="2"/>
      <c r="U912" s="2"/>
      <c r="Y912" s="8">
        <f t="shared" si="228"/>
        <v>4.271032608695652</v>
      </c>
    </row>
    <row r="913" spans="1:25" x14ac:dyDescent="0.25">
      <c r="A913" s="34">
        <f t="shared" si="234"/>
        <v>905</v>
      </c>
      <c r="B913" s="35">
        <f t="shared" si="234"/>
        <v>17</v>
      </c>
      <c r="C913" s="42" t="s">
        <v>265</v>
      </c>
      <c r="D913" s="43">
        <v>18</v>
      </c>
      <c r="E913" s="43"/>
      <c r="F913" s="36">
        <v>0.1739</v>
      </c>
      <c r="G913" s="36">
        <v>3.4258299999999998E-2</v>
      </c>
      <c r="H913" s="36">
        <v>9.2700000000000005E-2</v>
      </c>
      <c r="I913" s="37">
        <f t="shared" si="229"/>
        <v>1.3905000000000001E-2</v>
      </c>
      <c r="J913" s="32">
        <f t="shared" si="226"/>
        <v>0.20625750000000004</v>
      </c>
      <c r="K913" s="33">
        <f t="shared" si="230"/>
        <v>3.0938625000000004E-2</v>
      </c>
      <c r="L913" s="33"/>
      <c r="O913" s="2">
        <f t="shared" si="231"/>
        <v>3.8625000000000007E-2</v>
      </c>
      <c r="P913" s="2">
        <f t="shared" si="232"/>
        <v>27.810000000000006</v>
      </c>
      <c r="Q913" s="7">
        <f t="shared" si="233"/>
        <v>125.95108695652176</v>
      </c>
      <c r="R913" s="2">
        <v>1.2</v>
      </c>
      <c r="S913" s="2">
        <f t="shared" si="227"/>
        <v>4.45</v>
      </c>
      <c r="T913" s="2"/>
      <c r="U913" s="2"/>
      <c r="Y913" s="8">
        <f t="shared" si="228"/>
        <v>4.4838586956521747</v>
      </c>
    </row>
    <row r="914" spans="1:25" x14ac:dyDescent="0.25">
      <c r="A914" s="34">
        <f t="shared" si="234"/>
        <v>906</v>
      </c>
      <c r="B914" s="35">
        <f t="shared" si="234"/>
        <v>18</v>
      </c>
      <c r="C914" s="42" t="s">
        <v>265</v>
      </c>
      <c r="D914" s="43">
        <v>20</v>
      </c>
      <c r="E914" s="43"/>
      <c r="F914" s="36">
        <v>0.2082</v>
      </c>
      <c r="G914" s="36">
        <v>4.10154E-2</v>
      </c>
      <c r="H914" s="36">
        <v>8.1600000000000006E-2</v>
      </c>
      <c r="I914" s="37">
        <f t="shared" si="229"/>
        <v>1.2240000000000001E-2</v>
      </c>
      <c r="J914" s="32">
        <f t="shared" si="226"/>
        <v>0.18156000000000003</v>
      </c>
      <c r="K914" s="33">
        <f t="shared" si="230"/>
        <v>2.7234000000000005E-2</v>
      </c>
      <c r="L914" s="33"/>
      <c r="O914" s="2">
        <f t="shared" si="231"/>
        <v>3.4000000000000002E-2</v>
      </c>
      <c r="P914" s="2">
        <f t="shared" si="232"/>
        <v>24.48</v>
      </c>
      <c r="Q914" s="7">
        <f t="shared" si="233"/>
        <v>110.86956521739131</v>
      </c>
      <c r="R914" s="2">
        <v>1.2</v>
      </c>
      <c r="S914" s="2">
        <f t="shared" si="227"/>
        <v>4.45</v>
      </c>
      <c r="T914" s="2"/>
      <c r="U914" s="2"/>
      <c r="Y914" s="8">
        <f t="shared" si="228"/>
        <v>3.9469565217391307</v>
      </c>
    </row>
    <row r="915" spans="1:25" x14ac:dyDescent="0.25">
      <c r="A915" s="34">
        <f t="shared" si="234"/>
        <v>907</v>
      </c>
      <c r="B915" s="35">
        <f t="shared" si="234"/>
        <v>19</v>
      </c>
      <c r="C915" s="42" t="s">
        <v>265</v>
      </c>
      <c r="D915" s="35">
        <v>21</v>
      </c>
      <c r="E915" s="35"/>
      <c r="F915" s="36">
        <v>8.3799999999999999E-2</v>
      </c>
      <c r="G915" s="36">
        <f>F915*0.197</f>
        <v>1.6508600000000002E-2</v>
      </c>
      <c r="H915" s="36">
        <v>9.0399999999999994E-2</v>
      </c>
      <c r="I915" s="37">
        <f t="shared" si="229"/>
        <v>1.3559999999999999E-2</v>
      </c>
      <c r="J915" s="32">
        <f t="shared" si="226"/>
        <v>0.20113999999999999</v>
      </c>
      <c r="K915" s="33">
        <f t="shared" si="230"/>
        <v>3.0170999999999996E-2</v>
      </c>
      <c r="L915" s="33"/>
      <c r="O915" s="2">
        <f t="shared" si="231"/>
        <v>3.7666666666666668E-2</v>
      </c>
      <c r="P915" s="2">
        <f t="shared" si="232"/>
        <v>27.12</v>
      </c>
      <c r="Q915" s="7">
        <f t="shared" si="233"/>
        <v>122.82608695652175</v>
      </c>
      <c r="R915" s="2">
        <v>1.2</v>
      </c>
      <c r="S915" s="2">
        <f t="shared" si="227"/>
        <v>4.45</v>
      </c>
      <c r="T915" s="2"/>
      <c r="U915" s="2"/>
      <c r="Y915" s="8">
        <f t="shared" si="228"/>
        <v>4.3726086956521737</v>
      </c>
    </row>
    <row r="916" spans="1:25" x14ac:dyDescent="0.25">
      <c r="A916" s="34">
        <f t="shared" si="234"/>
        <v>908</v>
      </c>
      <c r="B916" s="35">
        <f t="shared" si="234"/>
        <v>20</v>
      </c>
      <c r="C916" s="42" t="s">
        <v>265</v>
      </c>
      <c r="D916" s="35">
        <v>29</v>
      </c>
      <c r="E916" s="35"/>
      <c r="F916" s="36">
        <v>0.2152</v>
      </c>
      <c r="G916" s="36">
        <f>F916*0.197</f>
        <v>4.2394400000000006E-2</v>
      </c>
      <c r="H916" s="36">
        <v>8.0199999999999994E-2</v>
      </c>
      <c r="I916" s="37">
        <f t="shared" si="229"/>
        <v>1.2029999999999999E-2</v>
      </c>
      <c r="J916" s="32">
        <f t="shared" si="226"/>
        <v>0.17844499999999999</v>
      </c>
      <c r="K916" s="33">
        <f t="shared" si="230"/>
        <v>2.6766749999999999E-2</v>
      </c>
      <c r="L916" s="33"/>
      <c r="O916" s="2">
        <f t="shared" si="231"/>
        <v>3.3416666666666664E-2</v>
      </c>
      <c r="P916" s="2">
        <f t="shared" si="232"/>
        <v>24.06</v>
      </c>
      <c r="Q916" s="7">
        <f t="shared" si="233"/>
        <v>108.96739130434783</v>
      </c>
      <c r="R916" s="2">
        <v>1.2</v>
      </c>
      <c r="S916" s="2">
        <f t="shared" si="227"/>
        <v>4.45</v>
      </c>
      <c r="T916" s="2"/>
      <c r="U916" s="2"/>
      <c r="Y916" s="8">
        <f t="shared" si="228"/>
        <v>3.8792391304347822</v>
      </c>
    </row>
    <row r="917" spans="1:25" x14ac:dyDescent="0.25">
      <c r="A917" s="34">
        <f t="shared" si="234"/>
        <v>909</v>
      </c>
      <c r="B917" s="35">
        <f t="shared" si="234"/>
        <v>21</v>
      </c>
      <c r="C917" s="42" t="s">
        <v>265</v>
      </c>
      <c r="D917" s="35" t="s">
        <v>126</v>
      </c>
      <c r="E917" s="35"/>
      <c r="F917" s="36">
        <v>9.0200000000000002E-2</v>
      </c>
      <c r="G917" s="36">
        <f>F917*0.197</f>
        <v>1.7769400000000001E-2</v>
      </c>
      <c r="H917" s="36">
        <v>2.5000000000000001E-2</v>
      </c>
      <c r="I917" s="37">
        <f t="shared" si="229"/>
        <v>3.7499999999999999E-3</v>
      </c>
      <c r="J917" s="32">
        <f t="shared" si="226"/>
        <v>5.5625000000000008E-2</v>
      </c>
      <c r="K917" s="33">
        <f t="shared" si="230"/>
        <v>8.3437500000000005E-3</v>
      </c>
      <c r="L917" s="33"/>
      <c r="O917" s="2">
        <f t="shared" si="231"/>
        <v>1.0416666666666668E-2</v>
      </c>
      <c r="P917" s="2">
        <f t="shared" si="232"/>
        <v>7.5</v>
      </c>
      <c r="Q917" s="7">
        <f t="shared" si="233"/>
        <v>33.967391304347828</v>
      </c>
      <c r="R917" s="2">
        <v>1.2</v>
      </c>
      <c r="S917" s="2">
        <f t="shared" si="227"/>
        <v>4.45</v>
      </c>
      <c r="T917" s="2"/>
      <c r="U917" s="2"/>
      <c r="Y917" s="8">
        <f t="shared" si="228"/>
        <v>1.2092391304347827</v>
      </c>
    </row>
    <row r="918" spans="1:25" x14ac:dyDescent="0.25">
      <c r="A918" s="34">
        <f t="shared" si="234"/>
        <v>910</v>
      </c>
      <c r="B918" s="35">
        <f t="shared" si="234"/>
        <v>22</v>
      </c>
      <c r="C918" s="42" t="s">
        <v>265</v>
      </c>
      <c r="D918" s="43">
        <v>30</v>
      </c>
      <c r="E918" s="43"/>
      <c r="F918" s="36">
        <v>0.15809999999999999</v>
      </c>
      <c r="G918" s="36">
        <v>3.1145699999999998E-2</v>
      </c>
      <c r="H918" s="36">
        <v>5.2200000000000003E-2</v>
      </c>
      <c r="I918" s="37">
        <v>7.8300000000000002E-3</v>
      </c>
      <c r="J918" s="32">
        <f t="shared" si="226"/>
        <v>0.11614500000000001</v>
      </c>
      <c r="K918" s="33">
        <f t="shared" si="230"/>
        <v>1.742175E-2</v>
      </c>
      <c r="L918" s="33"/>
      <c r="O918" s="2">
        <f t="shared" si="231"/>
        <v>2.1750000000000002E-2</v>
      </c>
      <c r="P918" s="2">
        <f t="shared" si="232"/>
        <v>15.66</v>
      </c>
      <c r="Q918" s="7">
        <f t="shared" si="233"/>
        <v>70.923913043478265</v>
      </c>
      <c r="R918" s="2">
        <v>1.2</v>
      </c>
      <c r="S918" s="2">
        <f t="shared" si="227"/>
        <v>4.45</v>
      </c>
      <c r="T918" s="2"/>
      <c r="U918" s="2"/>
      <c r="Y918" s="8">
        <f t="shared" si="228"/>
        <v>2.5248913043478263</v>
      </c>
    </row>
    <row r="919" spans="1:25" x14ac:dyDescent="0.25">
      <c r="A919" s="34">
        <f t="shared" si="234"/>
        <v>911</v>
      </c>
      <c r="B919" s="35">
        <f t="shared" si="234"/>
        <v>23</v>
      </c>
      <c r="C919" s="42" t="s">
        <v>265</v>
      </c>
      <c r="D919" s="35">
        <v>31</v>
      </c>
      <c r="E919" s="35">
        <v>1</v>
      </c>
      <c r="F919" s="36">
        <v>0.1391</v>
      </c>
      <c r="G919" s="36">
        <f>F919*0.197</f>
        <v>2.7402700000000002E-2</v>
      </c>
      <c r="H919" s="36">
        <v>5.96E-2</v>
      </c>
      <c r="I919" s="37">
        <f>H919*0.15</f>
        <v>8.94E-3</v>
      </c>
      <c r="J919" s="32">
        <f t="shared" si="226"/>
        <v>0.13261000000000001</v>
      </c>
      <c r="K919" s="33">
        <f t="shared" si="230"/>
        <v>1.9891499999999999E-2</v>
      </c>
      <c r="L919" s="33"/>
      <c r="O919" s="2">
        <f t="shared" si="231"/>
        <v>2.4833333333333336E-2</v>
      </c>
      <c r="P919" s="2">
        <f t="shared" si="232"/>
        <v>17.880000000000003</v>
      </c>
      <c r="Q919" s="7">
        <f t="shared" si="233"/>
        <v>80.978260869565233</v>
      </c>
      <c r="R919" s="2">
        <v>1.2</v>
      </c>
      <c r="S919" s="2">
        <f t="shared" si="227"/>
        <v>4.45</v>
      </c>
      <c r="T919" s="2"/>
      <c r="U919" s="2"/>
      <c r="Y919" s="8">
        <f t="shared" si="228"/>
        <v>2.8828260869565221</v>
      </c>
    </row>
    <row r="920" spans="1:25" x14ac:dyDescent="0.25">
      <c r="A920" s="34">
        <f t="shared" si="234"/>
        <v>912</v>
      </c>
      <c r="B920" s="35">
        <f t="shared" si="234"/>
        <v>24</v>
      </c>
      <c r="C920" s="42" t="s">
        <v>265</v>
      </c>
      <c r="D920" s="35">
        <v>31</v>
      </c>
      <c r="E920" s="35">
        <v>2</v>
      </c>
      <c r="F920" s="36">
        <v>0.1391</v>
      </c>
      <c r="G920" s="36">
        <f>F920*0.197</f>
        <v>2.7402700000000002E-2</v>
      </c>
      <c r="H920" s="36">
        <v>5.96E-2</v>
      </c>
      <c r="I920" s="37">
        <f>H920*0.15</f>
        <v>8.94E-3</v>
      </c>
      <c r="J920" s="32">
        <f t="shared" si="226"/>
        <v>0.13261000000000001</v>
      </c>
      <c r="K920" s="33">
        <f t="shared" si="230"/>
        <v>1.9891499999999999E-2</v>
      </c>
      <c r="L920" s="33"/>
      <c r="O920" s="2">
        <f t="shared" si="231"/>
        <v>2.4833333333333336E-2</v>
      </c>
      <c r="P920" s="2">
        <f t="shared" si="232"/>
        <v>17.880000000000003</v>
      </c>
      <c r="Q920" s="7">
        <f t="shared" si="233"/>
        <v>80.978260869565233</v>
      </c>
      <c r="R920" s="2">
        <v>1.2</v>
      </c>
      <c r="S920" s="2">
        <f t="shared" si="227"/>
        <v>4.45</v>
      </c>
      <c r="T920" s="2"/>
      <c r="U920" s="2"/>
      <c r="Y920" s="8">
        <f t="shared" si="228"/>
        <v>2.8828260869565221</v>
      </c>
    </row>
    <row r="921" spans="1:25" x14ac:dyDescent="0.25">
      <c r="A921" s="34">
        <f t="shared" si="234"/>
        <v>913</v>
      </c>
      <c r="B921" s="35">
        <f t="shared" si="234"/>
        <v>25</v>
      </c>
      <c r="C921" s="42" t="s">
        <v>265</v>
      </c>
      <c r="D921" s="43">
        <v>32</v>
      </c>
      <c r="E921" s="43"/>
      <c r="F921" s="36">
        <v>0.2296</v>
      </c>
      <c r="G921" s="36">
        <v>4.5231199999999999E-2</v>
      </c>
      <c r="H921" s="36">
        <v>9.7199999999999995E-2</v>
      </c>
      <c r="I921" s="37">
        <v>1.4579999999999999E-2</v>
      </c>
      <c r="J921" s="32">
        <f t="shared" si="226"/>
        <v>0.21626999999999999</v>
      </c>
      <c r="K921" s="33">
        <f t="shared" si="230"/>
        <v>3.2440499999999997E-2</v>
      </c>
      <c r="L921" s="33"/>
      <c r="O921" s="2">
        <f t="shared" si="231"/>
        <v>4.0500000000000001E-2</v>
      </c>
      <c r="P921" s="2">
        <f t="shared" si="232"/>
        <v>29.16</v>
      </c>
      <c r="Q921" s="7">
        <f t="shared" si="233"/>
        <v>132.06521739130434</v>
      </c>
      <c r="R921" s="2">
        <v>1.2</v>
      </c>
      <c r="S921" s="2">
        <f t="shared" si="227"/>
        <v>4.45</v>
      </c>
      <c r="T921" s="2"/>
      <c r="U921" s="2"/>
      <c r="Y921" s="8">
        <f t="shared" si="228"/>
        <v>4.7015217391304347</v>
      </c>
    </row>
    <row r="922" spans="1:25" x14ac:dyDescent="0.25">
      <c r="A922" s="34">
        <f t="shared" si="234"/>
        <v>914</v>
      </c>
      <c r="B922" s="35">
        <f t="shared" si="234"/>
        <v>26</v>
      </c>
      <c r="C922" s="42" t="s">
        <v>265</v>
      </c>
      <c r="D922" s="35">
        <v>34</v>
      </c>
      <c r="E922" s="35"/>
      <c r="F922" s="36">
        <v>0.17330000000000001</v>
      </c>
      <c r="G922" s="36">
        <f t="shared" ref="G922:G929" si="235">F922*0.197</f>
        <v>3.4140100000000007E-2</v>
      </c>
      <c r="H922" s="36">
        <v>8.1600000000000006E-2</v>
      </c>
      <c r="I922" s="37">
        <f t="shared" ref="I922:I929" si="236">H922*0.15</f>
        <v>1.2240000000000001E-2</v>
      </c>
      <c r="J922" s="32">
        <f t="shared" si="226"/>
        <v>0.18156000000000003</v>
      </c>
      <c r="K922" s="33">
        <f t="shared" si="230"/>
        <v>2.7234000000000005E-2</v>
      </c>
      <c r="L922" s="33"/>
      <c r="O922" s="2">
        <f t="shared" si="231"/>
        <v>3.4000000000000002E-2</v>
      </c>
      <c r="P922" s="2">
        <f t="shared" si="232"/>
        <v>24.48</v>
      </c>
      <c r="Q922" s="7">
        <f t="shared" si="233"/>
        <v>110.86956521739131</v>
      </c>
      <c r="R922" s="2">
        <v>1.2</v>
      </c>
      <c r="S922" s="2">
        <f t="shared" si="227"/>
        <v>4.45</v>
      </c>
      <c r="T922" s="2"/>
      <c r="U922" s="2"/>
      <c r="Y922" s="8">
        <f t="shared" si="228"/>
        <v>3.9469565217391307</v>
      </c>
    </row>
    <row r="923" spans="1:25" x14ac:dyDescent="0.25">
      <c r="A923" s="34">
        <f t="shared" si="234"/>
        <v>915</v>
      </c>
      <c r="B923" s="35">
        <f t="shared" si="234"/>
        <v>27</v>
      </c>
      <c r="C923" s="42" t="s">
        <v>265</v>
      </c>
      <c r="D923" s="35">
        <v>36</v>
      </c>
      <c r="E923" s="35"/>
      <c r="F923" s="36">
        <v>0.17610000000000001</v>
      </c>
      <c r="G923" s="36">
        <f t="shared" si="235"/>
        <v>3.4691700000000006E-2</v>
      </c>
      <c r="H923" s="36">
        <v>7.9500000000000001E-2</v>
      </c>
      <c r="I923" s="37">
        <f t="shared" si="236"/>
        <v>1.1925E-2</v>
      </c>
      <c r="J923" s="32">
        <f t="shared" si="226"/>
        <v>0.1768875</v>
      </c>
      <c r="K923" s="33">
        <f t="shared" si="230"/>
        <v>2.6533125000000001E-2</v>
      </c>
      <c r="L923" s="33"/>
      <c r="O923" s="2">
        <f t="shared" si="231"/>
        <v>3.3125000000000002E-2</v>
      </c>
      <c r="P923" s="2">
        <f t="shared" si="232"/>
        <v>23.85</v>
      </c>
      <c r="Q923" s="7">
        <f t="shared" si="233"/>
        <v>108.01630434782609</v>
      </c>
      <c r="R923" s="2">
        <v>1.2</v>
      </c>
      <c r="S923" s="2">
        <f t="shared" si="227"/>
        <v>4.45</v>
      </c>
      <c r="T923" s="2"/>
      <c r="U923" s="2"/>
      <c r="Y923" s="8">
        <f t="shared" si="228"/>
        <v>3.8453804347826086</v>
      </c>
    </row>
    <row r="924" spans="1:25" x14ac:dyDescent="0.25">
      <c r="A924" s="34">
        <f t="shared" ref="A924:B939" si="237">A923+1</f>
        <v>916</v>
      </c>
      <c r="B924" s="35">
        <f t="shared" si="237"/>
        <v>28</v>
      </c>
      <c r="C924" s="42" t="s">
        <v>265</v>
      </c>
      <c r="D924" s="35">
        <v>37</v>
      </c>
      <c r="E924" s="35"/>
      <c r="F924" s="36">
        <v>0.1613</v>
      </c>
      <c r="G924" s="36">
        <f t="shared" si="235"/>
        <v>3.1776100000000002E-2</v>
      </c>
      <c r="H924" s="36">
        <v>7.7299999999999994E-2</v>
      </c>
      <c r="I924" s="37">
        <f t="shared" si="236"/>
        <v>1.1594999999999999E-2</v>
      </c>
      <c r="J924" s="32">
        <f t="shared" si="226"/>
        <v>0.17199249999999999</v>
      </c>
      <c r="K924" s="33">
        <f t="shared" si="230"/>
        <v>2.5798874999999999E-2</v>
      </c>
      <c r="L924" s="33"/>
      <c r="O924" s="2">
        <f t="shared" si="231"/>
        <v>3.2208333333333332E-2</v>
      </c>
      <c r="P924" s="2">
        <f t="shared" si="232"/>
        <v>23.189999999999998</v>
      </c>
      <c r="Q924" s="7">
        <f t="shared" si="233"/>
        <v>105.02717391304347</v>
      </c>
      <c r="R924" s="2">
        <v>1.2</v>
      </c>
      <c r="S924" s="2">
        <f t="shared" si="227"/>
        <v>4.45</v>
      </c>
      <c r="T924" s="2"/>
      <c r="U924" s="2"/>
      <c r="Y924" s="8">
        <f t="shared" si="228"/>
        <v>3.7389673913043477</v>
      </c>
    </row>
    <row r="925" spans="1:25" x14ac:dyDescent="0.25">
      <c r="A925" s="34">
        <f t="shared" si="237"/>
        <v>917</v>
      </c>
      <c r="B925" s="35">
        <f t="shared" si="237"/>
        <v>29</v>
      </c>
      <c r="C925" s="42" t="s">
        <v>265</v>
      </c>
      <c r="D925" s="35">
        <v>38</v>
      </c>
      <c r="E925" s="35"/>
      <c r="F925" s="36">
        <v>0.2944</v>
      </c>
      <c r="G925" s="36">
        <f t="shared" si="235"/>
        <v>5.7996800000000001E-2</v>
      </c>
      <c r="H925" s="36">
        <v>0.13539999999999999</v>
      </c>
      <c r="I925" s="37">
        <f t="shared" si="236"/>
        <v>2.0309999999999998E-2</v>
      </c>
      <c r="J925" s="32">
        <f t="shared" si="226"/>
        <v>0.25048999999999999</v>
      </c>
      <c r="K925" s="33">
        <f t="shared" si="230"/>
        <v>3.7573499999999996E-2</v>
      </c>
      <c r="L925" s="33"/>
      <c r="O925" s="2">
        <f t="shared" si="231"/>
        <v>5.6416666666666664E-2</v>
      </c>
      <c r="P925" s="2">
        <f t="shared" si="232"/>
        <v>40.619999999999997</v>
      </c>
      <c r="Q925" s="7">
        <f t="shared" si="233"/>
        <v>183.96739130434781</v>
      </c>
      <c r="R925" s="2">
        <v>1.2</v>
      </c>
      <c r="S925" s="2">
        <f t="shared" si="227"/>
        <v>3.7</v>
      </c>
      <c r="T925" s="2"/>
      <c r="U925" s="2"/>
      <c r="Y925" s="8">
        <f t="shared" si="228"/>
        <v>5.4454347826086957</v>
      </c>
    </row>
    <row r="926" spans="1:25" x14ac:dyDescent="0.25">
      <c r="A926" s="34">
        <f t="shared" si="237"/>
        <v>918</v>
      </c>
      <c r="B926" s="35">
        <f t="shared" si="237"/>
        <v>30</v>
      </c>
      <c r="C926" s="42" t="s">
        <v>265</v>
      </c>
      <c r="D926" s="35">
        <v>39</v>
      </c>
      <c r="E926" s="35"/>
      <c r="F926" s="36">
        <v>0.15989999999999999</v>
      </c>
      <c r="G926" s="36">
        <f t="shared" si="235"/>
        <v>3.1500300000000002E-2</v>
      </c>
      <c r="H926" s="36">
        <v>6.9199999999999998E-2</v>
      </c>
      <c r="I926" s="37">
        <f t="shared" si="236"/>
        <v>1.0379999999999999E-2</v>
      </c>
      <c r="J926" s="32">
        <f t="shared" si="226"/>
        <v>0.15397</v>
      </c>
      <c r="K926" s="33">
        <f t="shared" si="230"/>
        <v>2.3095499999999998E-2</v>
      </c>
      <c r="L926" s="33"/>
      <c r="O926" s="2">
        <f t="shared" si="231"/>
        <v>2.8833333333333332E-2</v>
      </c>
      <c r="P926" s="2">
        <f t="shared" si="232"/>
        <v>20.759999999999998</v>
      </c>
      <c r="Q926" s="7">
        <f t="shared" si="233"/>
        <v>94.021739130434781</v>
      </c>
      <c r="R926" s="2">
        <v>1.2</v>
      </c>
      <c r="S926" s="2">
        <f t="shared" si="227"/>
        <v>4.45</v>
      </c>
      <c r="T926" s="2"/>
      <c r="U926" s="2"/>
      <c r="Y926" s="8">
        <f t="shared" si="228"/>
        <v>3.3471739130434783</v>
      </c>
    </row>
    <row r="927" spans="1:25" x14ac:dyDescent="0.25">
      <c r="A927" s="34">
        <f t="shared" si="237"/>
        <v>919</v>
      </c>
      <c r="B927" s="35">
        <f t="shared" si="237"/>
        <v>31</v>
      </c>
      <c r="C927" s="42" t="s">
        <v>265</v>
      </c>
      <c r="D927" s="35">
        <v>41</v>
      </c>
      <c r="E927" s="35"/>
      <c r="F927" s="36">
        <v>0.29880000000000001</v>
      </c>
      <c r="G927" s="36">
        <f t="shared" si="235"/>
        <v>5.8863600000000002E-2</v>
      </c>
      <c r="H927" s="36">
        <v>0.1323</v>
      </c>
      <c r="I927" s="37">
        <f t="shared" si="236"/>
        <v>1.9844999999999998E-2</v>
      </c>
      <c r="J927" s="32">
        <f t="shared" si="226"/>
        <v>0.244755</v>
      </c>
      <c r="K927" s="33">
        <f t="shared" si="230"/>
        <v>3.6713249999999996E-2</v>
      </c>
      <c r="L927" s="33"/>
      <c r="O927" s="2">
        <f t="shared" si="231"/>
        <v>5.5125E-2</v>
      </c>
      <c r="P927" s="2">
        <f t="shared" si="232"/>
        <v>39.69</v>
      </c>
      <c r="Q927" s="7">
        <f t="shared" si="233"/>
        <v>179.75543478260869</v>
      </c>
      <c r="R927" s="2">
        <v>1.2</v>
      </c>
      <c r="S927" s="2">
        <f t="shared" si="227"/>
        <v>3.7</v>
      </c>
      <c r="T927" s="2"/>
      <c r="U927" s="2"/>
      <c r="Y927" s="8">
        <f t="shared" si="228"/>
        <v>5.3207608695652171</v>
      </c>
    </row>
    <row r="928" spans="1:25" x14ac:dyDescent="0.25">
      <c r="A928" s="34">
        <f t="shared" si="237"/>
        <v>920</v>
      </c>
      <c r="B928" s="35">
        <f t="shared" si="237"/>
        <v>32</v>
      </c>
      <c r="C928" s="42" t="s">
        <v>265</v>
      </c>
      <c r="D928" s="35">
        <v>42</v>
      </c>
      <c r="E928" s="35"/>
      <c r="F928" s="36">
        <v>0.1701</v>
      </c>
      <c r="G928" s="36">
        <f t="shared" si="235"/>
        <v>3.3509700000000003E-2</v>
      </c>
      <c r="H928" s="36">
        <v>6.1899999999999997E-2</v>
      </c>
      <c r="I928" s="37">
        <f t="shared" si="236"/>
        <v>9.2849999999999999E-3</v>
      </c>
      <c r="J928" s="32">
        <f t="shared" si="226"/>
        <v>0.1377275</v>
      </c>
      <c r="K928" s="33">
        <f t="shared" si="230"/>
        <v>2.0659125E-2</v>
      </c>
      <c r="L928" s="33"/>
      <c r="O928" s="2">
        <f t="shared" si="231"/>
        <v>2.5791666666666668E-2</v>
      </c>
      <c r="P928" s="2">
        <f t="shared" si="232"/>
        <v>18.57</v>
      </c>
      <c r="Q928" s="7">
        <f t="shared" si="233"/>
        <v>84.103260869565219</v>
      </c>
      <c r="R928" s="2">
        <v>1.2</v>
      </c>
      <c r="S928" s="2">
        <f t="shared" si="227"/>
        <v>4.45</v>
      </c>
      <c r="T928" s="2"/>
      <c r="U928" s="2"/>
      <c r="Y928" s="8">
        <f t="shared" si="228"/>
        <v>2.9940760869565217</v>
      </c>
    </row>
    <row r="929" spans="1:25" x14ac:dyDescent="0.25">
      <c r="A929" s="34">
        <f t="shared" si="237"/>
        <v>921</v>
      </c>
      <c r="B929" s="35">
        <f t="shared" si="237"/>
        <v>33</v>
      </c>
      <c r="C929" s="42" t="s">
        <v>265</v>
      </c>
      <c r="D929" s="35">
        <v>43</v>
      </c>
      <c r="E929" s="35"/>
      <c r="F929" s="36">
        <v>0.30049999999999999</v>
      </c>
      <c r="G929" s="36">
        <f t="shared" si="235"/>
        <v>5.9198500000000001E-2</v>
      </c>
      <c r="H929" s="36">
        <v>0.159</v>
      </c>
      <c r="I929" s="37">
        <f t="shared" si="236"/>
        <v>2.385E-2</v>
      </c>
      <c r="J929" s="32">
        <f t="shared" si="226"/>
        <v>0.29415000000000002</v>
      </c>
      <c r="K929" s="33">
        <f t="shared" si="230"/>
        <v>4.4122500000000002E-2</v>
      </c>
      <c r="L929" s="33"/>
      <c r="O929" s="2">
        <f t="shared" si="231"/>
        <v>6.6250000000000003E-2</v>
      </c>
      <c r="P929" s="2">
        <f t="shared" si="232"/>
        <v>47.7</v>
      </c>
      <c r="Q929" s="7">
        <f t="shared" si="233"/>
        <v>216.03260869565219</v>
      </c>
      <c r="R929" s="2">
        <v>1.2</v>
      </c>
      <c r="S929" s="2">
        <f t="shared" si="227"/>
        <v>3.7</v>
      </c>
      <c r="T929" s="2"/>
      <c r="U929" s="2"/>
      <c r="Y929" s="8">
        <f t="shared" si="228"/>
        <v>6.394565217391305</v>
      </c>
    </row>
    <row r="930" spans="1:25" x14ac:dyDescent="0.25">
      <c r="A930" s="34">
        <f t="shared" si="237"/>
        <v>922</v>
      </c>
      <c r="B930" s="35">
        <f t="shared" si="237"/>
        <v>34</v>
      </c>
      <c r="C930" s="42" t="s">
        <v>265</v>
      </c>
      <c r="D930" s="43">
        <v>44</v>
      </c>
      <c r="E930" s="43"/>
      <c r="F930" s="36">
        <v>0.29339999999999999</v>
      </c>
      <c r="G930" s="36">
        <v>5.7799799999999998E-2</v>
      </c>
      <c r="H930" s="36">
        <v>9.64E-2</v>
      </c>
      <c r="I930" s="37">
        <v>1.4460000000000001E-2</v>
      </c>
      <c r="J930" s="32">
        <f t="shared" si="226"/>
        <v>0.21449000000000001</v>
      </c>
      <c r="K930" s="33">
        <f t="shared" si="230"/>
        <v>3.2173500000000001E-2</v>
      </c>
      <c r="L930" s="33"/>
      <c r="O930" s="2">
        <f t="shared" si="231"/>
        <v>4.016666666666667E-2</v>
      </c>
      <c r="P930" s="2">
        <f t="shared" si="232"/>
        <v>28.92</v>
      </c>
      <c r="Q930" s="7">
        <f t="shared" si="233"/>
        <v>130.97826086956522</v>
      </c>
      <c r="R930" s="2">
        <v>1.2</v>
      </c>
      <c r="S930" s="2">
        <f t="shared" si="227"/>
        <v>4.45</v>
      </c>
      <c r="T930" s="2"/>
      <c r="U930" s="2"/>
      <c r="Y930" s="8">
        <f t="shared" si="228"/>
        <v>4.6628260869565219</v>
      </c>
    </row>
    <row r="931" spans="1:25" x14ac:dyDescent="0.25">
      <c r="A931" s="34">
        <f t="shared" si="237"/>
        <v>923</v>
      </c>
      <c r="B931" s="35">
        <f t="shared" si="237"/>
        <v>35</v>
      </c>
      <c r="C931" s="42" t="s">
        <v>265</v>
      </c>
      <c r="D931" s="43">
        <v>45</v>
      </c>
      <c r="E931" s="43"/>
      <c r="F931" s="36">
        <v>0.22109999999999999</v>
      </c>
      <c r="G931" s="36">
        <v>4.3556699999999997E-2</v>
      </c>
      <c r="H931" s="36">
        <v>9.4899999999999998E-2</v>
      </c>
      <c r="I931" s="37">
        <v>1.4234999999999999E-2</v>
      </c>
      <c r="J931" s="32">
        <f t="shared" si="226"/>
        <v>0.21115249999999999</v>
      </c>
      <c r="K931" s="33">
        <f t="shared" si="230"/>
        <v>3.1672874999999996E-2</v>
      </c>
      <c r="L931" s="33"/>
      <c r="O931" s="2">
        <f t="shared" si="231"/>
        <v>3.9541666666666669E-2</v>
      </c>
      <c r="P931" s="2">
        <f t="shared" si="232"/>
        <v>28.470000000000002</v>
      </c>
      <c r="Q931" s="7">
        <f t="shared" si="233"/>
        <v>128.94021739130437</v>
      </c>
      <c r="R931" s="2">
        <v>1.2</v>
      </c>
      <c r="S931" s="2">
        <f t="shared" si="227"/>
        <v>4.45</v>
      </c>
      <c r="T931" s="2"/>
      <c r="U931" s="2"/>
      <c r="Y931" s="8">
        <f t="shared" si="228"/>
        <v>4.5902717391304346</v>
      </c>
    </row>
    <row r="932" spans="1:25" x14ac:dyDescent="0.25">
      <c r="A932" s="34">
        <f t="shared" si="237"/>
        <v>924</v>
      </c>
      <c r="B932" s="35">
        <f t="shared" si="237"/>
        <v>36</v>
      </c>
      <c r="C932" s="42" t="s">
        <v>265</v>
      </c>
      <c r="D932" s="43">
        <v>46</v>
      </c>
      <c r="E932" s="43"/>
      <c r="F932" s="36">
        <v>0.253</v>
      </c>
      <c r="G932" s="36">
        <v>4.9841000000000003E-2</v>
      </c>
      <c r="H932" s="36">
        <v>8.0199999999999994E-2</v>
      </c>
      <c r="I932" s="37">
        <v>1.2030000000000001E-2</v>
      </c>
      <c r="J932" s="32">
        <f t="shared" si="226"/>
        <v>0.17844499999999999</v>
      </c>
      <c r="K932" s="33">
        <f t="shared" si="230"/>
        <v>2.6766749999999999E-2</v>
      </c>
      <c r="L932" s="33"/>
      <c r="O932" s="2">
        <f t="shared" si="231"/>
        <v>3.3416666666666664E-2</v>
      </c>
      <c r="P932" s="2">
        <f t="shared" si="232"/>
        <v>24.06</v>
      </c>
      <c r="Q932" s="7">
        <f t="shared" si="233"/>
        <v>108.96739130434783</v>
      </c>
      <c r="R932" s="2">
        <v>1.2</v>
      </c>
      <c r="S932" s="2">
        <f t="shared" si="227"/>
        <v>4.45</v>
      </c>
      <c r="T932" s="2"/>
      <c r="U932" s="2"/>
      <c r="Y932" s="8">
        <f t="shared" si="228"/>
        <v>3.8792391304347822</v>
      </c>
    </row>
    <row r="933" spans="1:25" x14ac:dyDescent="0.25">
      <c r="A933" s="34">
        <f t="shared" si="237"/>
        <v>925</v>
      </c>
      <c r="B933" s="35">
        <f t="shared" si="237"/>
        <v>37</v>
      </c>
      <c r="C933" s="42" t="s">
        <v>265</v>
      </c>
      <c r="D933" s="43">
        <v>47</v>
      </c>
      <c r="E933" s="43"/>
      <c r="F933" s="36">
        <v>0.2276</v>
      </c>
      <c r="G933" s="36">
        <v>4.4837200000000001E-2</v>
      </c>
      <c r="H933" s="36">
        <v>8.3900000000000002E-2</v>
      </c>
      <c r="I933" s="37">
        <v>1.2585000000000001E-2</v>
      </c>
      <c r="J933" s="32">
        <f t="shared" si="226"/>
        <v>0.18667750000000002</v>
      </c>
      <c r="K933" s="33">
        <f t="shared" si="230"/>
        <v>2.8001625000000002E-2</v>
      </c>
      <c r="L933" s="33"/>
      <c r="O933" s="2">
        <f t="shared" si="231"/>
        <v>3.4958333333333334E-2</v>
      </c>
      <c r="P933" s="2">
        <f t="shared" si="232"/>
        <v>25.169999999999998</v>
      </c>
      <c r="Q933" s="7">
        <f t="shared" si="233"/>
        <v>113.9945652173913</v>
      </c>
      <c r="R933" s="2">
        <v>1.2</v>
      </c>
      <c r="S933" s="2">
        <f t="shared" si="227"/>
        <v>4.45</v>
      </c>
      <c r="T933" s="2"/>
      <c r="U933" s="2"/>
      <c r="Y933" s="8">
        <f t="shared" si="228"/>
        <v>4.0582065217391312</v>
      </c>
    </row>
    <row r="934" spans="1:25" x14ac:dyDescent="0.25">
      <c r="A934" s="34">
        <f t="shared" si="237"/>
        <v>926</v>
      </c>
      <c r="B934" s="35">
        <f t="shared" si="237"/>
        <v>38</v>
      </c>
      <c r="C934" s="42" t="s">
        <v>265</v>
      </c>
      <c r="D934" s="43">
        <v>48</v>
      </c>
      <c r="E934" s="43"/>
      <c r="F934" s="36">
        <v>0.2278</v>
      </c>
      <c r="G934" s="36">
        <v>4.4876600000000003E-2</v>
      </c>
      <c r="H934" s="36">
        <v>8.0199999999999994E-2</v>
      </c>
      <c r="I934" s="37">
        <v>1.2030000000000001E-2</v>
      </c>
      <c r="J934" s="32">
        <f t="shared" si="226"/>
        <v>0.17844499999999999</v>
      </c>
      <c r="K934" s="33">
        <f t="shared" si="230"/>
        <v>2.6766749999999999E-2</v>
      </c>
      <c r="L934" s="33"/>
      <c r="O934" s="2">
        <f t="shared" si="231"/>
        <v>3.3416666666666664E-2</v>
      </c>
      <c r="P934" s="2">
        <f t="shared" si="232"/>
        <v>24.06</v>
      </c>
      <c r="Q934" s="7">
        <f t="shared" si="233"/>
        <v>108.96739130434783</v>
      </c>
      <c r="R934" s="2">
        <v>1.2</v>
      </c>
      <c r="S934" s="2">
        <f t="shared" si="227"/>
        <v>4.45</v>
      </c>
      <c r="T934" s="2"/>
      <c r="U934" s="2"/>
      <c r="Y934" s="8">
        <f t="shared" si="228"/>
        <v>3.8792391304347822</v>
      </c>
    </row>
    <row r="935" spans="1:25" x14ac:dyDescent="0.25">
      <c r="A935" s="34">
        <f t="shared" si="237"/>
        <v>927</v>
      </c>
      <c r="B935" s="35">
        <f t="shared" si="237"/>
        <v>39</v>
      </c>
      <c r="C935" s="42" t="s">
        <v>265</v>
      </c>
      <c r="D935" s="43">
        <v>52</v>
      </c>
      <c r="E935" s="43"/>
      <c r="F935" s="36">
        <v>0.15809999999999999</v>
      </c>
      <c r="G935" s="36">
        <v>3.1145699999999998E-2</v>
      </c>
      <c r="H935" s="36">
        <v>5.45E-2</v>
      </c>
      <c r="I935" s="37">
        <v>8.175E-3</v>
      </c>
      <c r="J935" s="32">
        <f t="shared" si="226"/>
        <v>0.12126250000000001</v>
      </c>
      <c r="K935" s="33">
        <f t="shared" si="230"/>
        <v>1.8189375000000001E-2</v>
      </c>
      <c r="L935" s="33"/>
      <c r="O935" s="2">
        <f t="shared" si="231"/>
        <v>2.2708333333333334E-2</v>
      </c>
      <c r="P935" s="2">
        <f t="shared" si="232"/>
        <v>16.350000000000001</v>
      </c>
      <c r="Q935" s="7">
        <f t="shared" si="233"/>
        <v>74.048913043478265</v>
      </c>
      <c r="R935" s="2">
        <v>1.2</v>
      </c>
      <c r="S935" s="2">
        <f t="shared" si="227"/>
        <v>4.45</v>
      </c>
      <c r="T935" s="2"/>
      <c r="U935" s="2"/>
      <c r="Y935" s="8">
        <f t="shared" si="228"/>
        <v>2.6361413043478263</v>
      </c>
    </row>
    <row r="936" spans="1:25" x14ac:dyDescent="0.25">
      <c r="A936" s="34">
        <f t="shared" si="237"/>
        <v>928</v>
      </c>
      <c r="B936" s="35">
        <f t="shared" si="237"/>
        <v>40</v>
      </c>
      <c r="C936" s="42" t="s">
        <v>265</v>
      </c>
      <c r="D936" s="35">
        <v>53</v>
      </c>
      <c r="E936" s="35"/>
      <c r="F936" s="36">
        <v>2.2409999999999999E-2</v>
      </c>
      <c r="G936" s="36">
        <f>F936*0.197</f>
        <v>4.4147700000000002E-3</v>
      </c>
      <c r="H936" s="36">
        <v>7.2099999999999997E-2</v>
      </c>
      <c r="I936" s="37">
        <f>H936*0.15</f>
        <v>1.0815E-2</v>
      </c>
      <c r="J936" s="32">
        <f t="shared" si="226"/>
        <v>0.1604225</v>
      </c>
      <c r="K936" s="33">
        <f t="shared" si="230"/>
        <v>2.4063374999999998E-2</v>
      </c>
      <c r="L936" s="33"/>
      <c r="O936" s="2">
        <f t="shared" si="231"/>
        <v>3.0041666666666668E-2</v>
      </c>
      <c r="P936" s="2">
        <f t="shared" si="232"/>
        <v>21.630000000000003</v>
      </c>
      <c r="Q936" s="7">
        <f t="shared" si="233"/>
        <v>97.96195652173914</v>
      </c>
      <c r="R936" s="2">
        <v>1.2</v>
      </c>
      <c r="S936" s="2">
        <f t="shared" si="227"/>
        <v>4.45</v>
      </c>
      <c r="T936" s="2"/>
      <c r="U936" s="2"/>
      <c r="Y936" s="8">
        <f t="shared" si="228"/>
        <v>3.4874456521739132</v>
      </c>
    </row>
    <row r="937" spans="1:25" x14ac:dyDescent="0.25">
      <c r="A937" s="34">
        <f t="shared" si="237"/>
        <v>929</v>
      </c>
      <c r="B937" s="35">
        <f t="shared" si="237"/>
        <v>41</v>
      </c>
      <c r="C937" s="42" t="s">
        <v>265</v>
      </c>
      <c r="D937" s="43">
        <v>54</v>
      </c>
      <c r="E937" s="43"/>
      <c r="F937" s="36">
        <v>0.1207</v>
      </c>
      <c r="G937" s="36">
        <v>2.3777900000000001E-2</v>
      </c>
      <c r="H937" s="36">
        <v>3.9E-2</v>
      </c>
      <c r="I937" s="37">
        <v>5.8500000000000002E-3</v>
      </c>
      <c r="J937" s="32">
        <f t="shared" si="226"/>
        <v>8.6775000000000005E-2</v>
      </c>
      <c r="K937" s="33">
        <f t="shared" si="230"/>
        <v>1.301625E-2</v>
      </c>
      <c r="L937" s="33"/>
      <c r="O937" s="2">
        <f t="shared" si="231"/>
        <v>1.6250000000000001E-2</v>
      </c>
      <c r="P937" s="2">
        <f t="shared" si="232"/>
        <v>11.700000000000001</v>
      </c>
      <c r="Q937" s="7">
        <f t="shared" si="233"/>
        <v>52.989130434782616</v>
      </c>
      <c r="R937" s="2">
        <v>1.2</v>
      </c>
      <c r="S937" s="2">
        <f t="shared" si="227"/>
        <v>4.45</v>
      </c>
      <c r="T937" s="2"/>
      <c r="U937" s="2"/>
      <c r="Y937" s="8">
        <f t="shared" si="228"/>
        <v>1.8864130434782609</v>
      </c>
    </row>
    <row r="938" spans="1:25" x14ac:dyDescent="0.25">
      <c r="A938" s="34">
        <f t="shared" si="237"/>
        <v>930</v>
      </c>
      <c r="B938" s="35">
        <f t="shared" si="237"/>
        <v>42</v>
      </c>
      <c r="C938" s="42" t="s">
        <v>265</v>
      </c>
      <c r="D938" s="43">
        <v>55</v>
      </c>
      <c r="E938" s="43"/>
      <c r="F938" s="36">
        <v>0.2989</v>
      </c>
      <c r="G938" s="36">
        <v>5.88833E-2</v>
      </c>
      <c r="H938" s="36">
        <v>0.1008</v>
      </c>
      <c r="I938" s="37">
        <v>1.512E-2</v>
      </c>
      <c r="J938" s="32">
        <f t="shared" si="226"/>
        <v>0.22428000000000001</v>
      </c>
      <c r="K938" s="33">
        <f t="shared" si="230"/>
        <v>3.3641999999999998E-2</v>
      </c>
      <c r="L938" s="33"/>
      <c r="O938" s="2">
        <f t="shared" si="231"/>
        <v>4.2000000000000003E-2</v>
      </c>
      <c r="P938" s="2">
        <f t="shared" si="232"/>
        <v>30.240000000000002</v>
      </c>
      <c r="Q938" s="7">
        <f t="shared" si="233"/>
        <v>136.95652173913044</v>
      </c>
      <c r="R938" s="2">
        <v>1.2</v>
      </c>
      <c r="S938" s="2">
        <f t="shared" si="227"/>
        <v>4.45</v>
      </c>
      <c r="T938" s="2"/>
      <c r="U938" s="2"/>
      <c r="Y938" s="8">
        <f t="shared" si="228"/>
        <v>4.8756521739130436</v>
      </c>
    </row>
    <row r="939" spans="1:25" x14ac:dyDescent="0.25">
      <c r="A939" s="34">
        <f t="shared" si="237"/>
        <v>931</v>
      </c>
      <c r="B939" s="35">
        <f t="shared" si="237"/>
        <v>43</v>
      </c>
      <c r="C939" s="42" t="s">
        <v>265</v>
      </c>
      <c r="D939" s="43" t="s">
        <v>266</v>
      </c>
      <c r="E939" s="43"/>
      <c r="F939" s="36">
        <v>0.23</v>
      </c>
      <c r="G939" s="36">
        <v>4.5310000000000003E-2</v>
      </c>
      <c r="H939" s="36">
        <v>9.1300000000000006E-2</v>
      </c>
      <c r="I939" s="37">
        <v>1.3695000000000001E-2</v>
      </c>
      <c r="J939" s="32">
        <f t="shared" si="226"/>
        <v>0.20314250000000003</v>
      </c>
      <c r="K939" s="33">
        <f t="shared" si="230"/>
        <v>3.0471375000000002E-2</v>
      </c>
      <c r="L939" s="33"/>
      <c r="O939" s="2">
        <f t="shared" si="231"/>
        <v>3.8041666666666668E-2</v>
      </c>
      <c r="P939" s="2">
        <f t="shared" si="232"/>
        <v>27.39</v>
      </c>
      <c r="Q939" s="7">
        <f t="shared" si="233"/>
        <v>124.04891304347827</v>
      </c>
      <c r="R939" s="2">
        <v>1.2</v>
      </c>
      <c r="S939" s="2">
        <f t="shared" si="227"/>
        <v>4.45</v>
      </c>
      <c r="T939" s="2"/>
      <c r="U939" s="2"/>
      <c r="Y939" s="8">
        <f t="shared" si="228"/>
        <v>4.4161413043478266</v>
      </c>
    </row>
    <row r="940" spans="1:25" x14ac:dyDescent="0.25">
      <c r="A940" s="34">
        <f t="shared" ref="A940:B955" si="238">A939+1</f>
        <v>932</v>
      </c>
      <c r="B940" s="35">
        <f t="shared" si="238"/>
        <v>44</v>
      </c>
      <c r="C940" s="42" t="s">
        <v>265</v>
      </c>
      <c r="D940" s="43">
        <v>56</v>
      </c>
      <c r="E940" s="43"/>
      <c r="F940" s="36">
        <v>0.26179999999999998</v>
      </c>
      <c r="G940" s="36">
        <v>5.1574599999999998E-2</v>
      </c>
      <c r="H940" s="36">
        <v>9.8599999999999993E-2</v>
      </c>
      <c r="I940" s="37">
        <v>1.4789999999999999E-2</v>
      </c>
      <c r="J940" s="32">
        <f t="shared" si="226"/>
        <v>0.219385</v>
      </c>
      <c r="K940" s="33">
        <f t="shared" si="230"/>
        <v>3.290775E-2</v>
      </c>
      <c r="L940" s="33"/>
      <c r="O940" s="2">
        <f t="shared" si="231"/>
        <v>4.1083333333333333E-2</v>
      </c>
      <c r="P940" s="2">
        <f t="shared" si="232"/>
        <v>29.58</v>
      </c>
      <c r="Q940" s="7">
        <f t="shared" si="233"/>
        <v>133.96739130434781</v>
      </c>
      <c r="R940" s="2">
        <v>1.2</v>
      </c>
      <c r="S940" s="2">
        <f t="shared" si="227"/>
        <v>4.45</v>
      </c>
      <c r="T940" s="2"/>
      <c r="U940" s="2"/>
      <c r="Y940" s="8">
        <f t="shared" si="228"/>
        <v>4.7692391304347828</v>
      </c>
    </row>
    <row r="941" spans="1:25" x14ac:dyDescent="0.25">
      <c r="A941" s="34">
        <f t="shared" si="238"/>
        <v>933</v>
      </c>
      <c r="B941" s="35">
        <f t="shared" si="238"/>
        <v>45</v>
      </c>
      <c r="C941" s="42" t="s">
        <v>265</v>
      </c>
      <c r="D941" s="43">
        <v>57</v>
      </c>
      <c r="E941" s="43"/>
      <c r="F941" s="36">
        <v>0.27550000000000002</v>
      </c>
      <c r="G941" s="36">
        <v>5.4273500000000002E-2</v>
      </c>
      <c r="H941" s="36">
        <v>0.1067</v>
      </c>
      <c r="I941" s="37">
        <v>1.6004999999999998E-2</v>
      </c>
      <c r="J941" s="32">
        <f t="shared" si="226"/>
        <v>0.23740750000000002</v>
      </c>
      <c r="K941" s="33">
        <f t="shared" si="230"/>
        <v>3.5611125E-2</v>
      </c>
      <c r="L941" s="33"/>
      <c r="O941" s="2">
        <f t="shared" si="231"/>
        <v>4.4458333333333336E-2</v>
      </c>
      <c r="P941" s="2">
        <f t="shared" si="232"/>
        <v>32.010000000000005</v>
      </c>
      <c r="Q941" s="7">
        <f t="shared" si="233"/>
        <v>144.97282608695656</v>
      </c>
      <c r="R941" s="2">
        <v>1.2</v>
      </c>
      <c r="S941" s="2">
        <f t="shared" si="227"/>
        <v>4.45</v>
      </c>
      <c r="T941" s="2"/>
      <c r="U941" s="2"/>
      <c r="Y941" s="8">
        <f t="shared" si="228"/>
        <v>5.1610326086956526</v>
      </c>
    </row>
    <row r="942" spans="1:25" x14ac:dyDescent="0.25">
      <c r="A942" s="34">
        <f t="shared" si="238"/>
        <v>934</v>
      </c>
      <c r="B942" s="35">
        <f t="shared" si="238"/>
        <v>46</v>
      </c>
      <c r="C942" s="42" t="s">
        <v>265</v>
      </c>
      <c r="D942" s="43">
        <v>58</v>
      </c>
      <c r="E942" s="43"/>
      <c r="F942" s="36">
        <v>0.121</v>
      </c>
      <c r="G942" s="36">
        <v>2.3837000000000001E-2</v>
      </c>
      <c r="H942" s="36">
        <v>3.8300000000000001E-2</v>
      </c>
      <c r="I942" s="37">
        <v>5.7450000000000001E-3</v>
      </c>
      <c r="J942" s="32">
        <f t="shared" si="226"/>
        <v>8.5217500000000002E-2</v>
      </c>
      <c r="K942" s="33">
        <f t="shared" si="230"/>
        <v>1.2782625000000001E-2</v>
      </c>
      <c r="L942" s="33"/>
      <c r="O942" s="2">
        <f t="shared" si="231"/>
        <v>1.5958333333333335E-2</v>
      </c>
      <c r="P942" s="2">
        <f t="shared" si="232"/>
        <v>11.49</v>
      </c>
      <c r="Q942" s="7">
        <f t="shared" si="233"/>
        <v>52.038043478260875</v>
      </c>
      <c r="R942" s="2">
        <v>1.2</v>
      </c>
      <c r="S942" s="2">
        <f t="shared" si="227"/>
        <v>4.45</v>
      </c>
      <c r="T942" s="2"/>
      <c r="U942" s="2"/>
      <c r="Y942" s="8">
        <f t="shared" si="228"/>
        <v>1.8525543478260869</v>
      </c>
    </row>
    <row r="943" spans="1:25" x14ac:dyDescent="0.25">
      <c r="A943" s="34">
        <f t="shared" si="238"/>
        <v>935</v>
      </c>
      <c r="B943" s="35">
        <f t="shared" si="238"/>
        <v>47</v>
      </c>
      <c r="C943" s="42" t="s">
        <v>265</v>
      </c>
      <c r="D943" s="43">
        <v>59</v>
      </c>
      <c r="E943" s="43"/>
      <c r="F943" s="36">
        <v>0.2457</v>
      </c>
      <c r="G943" s="36">
        <v>4.8402899999999999E-2</v>
      </c>
      <c r="H943" s="36">
        <v>7.5800000000000006E-2</v>
      </c>
      <c r="I943" s="37">
        <v>1.137E-2</v>
      </c>
      <c r="J943" s="32">
        <f t="shared" si="226"/>
        <v>0.16865500000000003</v>
      </c>
      <c r="K943" s="33">
        <f t="shared" si="230"/>
        <v>2.5298250000000005E-2</v>
      </c>
      <c r="L943" s="33"/>
      <c r="O943" s="2">
        <f t="shared" si="231"/>
        <v>3.1583333333333338E-2</v>
      </c>
      <c r="P943" s="2">
        <f t="shared" si="232"/>
        <v>22.740000000000002</v>
      </c>
      <c r="Q943" s="7">
        <f t="shared" si="233"/>
        <v>102.98913043478262</v>
      </c>
      <c r="R943" s="2">
        <v>1.2</v>
      </c>
      <c r="S943" s="2">
        <f t="shared" si="227"/>
        <v>4.45</v>
      </c>
      <c r="T943" s="2"/>
      <c r="U943" s="2"/>
      <c r="Y943" s="8">
        <f t="shared" si="228"/>
        <v>3.6664130434782618</v>
      </c>
    </row>
    <row r="944" spans="1:25" x14ac:dyDescent="0.25">
      <c r="A944" s="34">
        <f t="shared" si="238"/>
        <v>936</v>
      </c>
      <c r="B944" s="35">
        <f t="shared" si="238"/>
        <v>48</v>
      </c>
      <c r="C944" s="42" t="s">
        <v>265</v>
      </c>
      <c r="D944" s="43" t="s">
        <v>267</v>
      </c>
      <c r="E944" s="43"/>
      <c r="F944" s="36">
        <v>0.22750000000000001</v>
      </c>
      <c r="G944" s="36">
        <v>4.4817500000000003E-2</v>
      </c>
      <c r="H944" s="36">
        <v>0.1338</v>
      </c>
      <c r="I944" s="37">
        <v>2.0070000000000001E-2</v>
      </c>
      <c r="J944" s="32">
        <f t="shared" si="226"/>
        <v>0.24753000000000003</v>
      </c>
      <c r="K944" s="33">
        <f t="shared" si="230"/>
        <v>3.7129500000000003E-2</v>
      </c>
      <c r="L944" s="33"/>
      <c r="O944" s="2">
        <f t="shared" si="231"/>
        <v>5.5750000000000001E-2</v>
      </c>
      <c r="P944" s="2">
        <f t="shared" si="232"/>
        <v>40.14</v>
      </c>
      <c r="Q944" s="7">
        <f t="shared" si="233"/>
        <v>181.79347826086956</v>
      </c>
      <c r="R944" s="2">
        <v>1.2</v>
      </c>
      <c r="S944" s="2">
        <f t="shared" si="227"/>
        <v>3.7</v>
      </c>
      <c r="T944" s="2"/>
      <c r="U944" s="2"/>
      <c r="Y944" s="8">
        <f t="shared" si="228"/>
        <v>5.3810869565217399</v>
      </c>
    </row>
    <row r="945" spans="1:25" x14ac:dyDescent="0.25">
      <c r="A945" s="34">
        <f t="shared" si="238"/>
        <v>937</v>
      </c>
      <c r="B945" s="35">
        <f t="shared" si="238"/>
        <v>49</v>
      </c>
      <c r="C945" s="42" t="s">
        <v>265</v>
      </c>
      <c r="D945" s="35">
        <v>60</v>
      </c>
      <c r="E945" s="35"/>
      <c r="F945" s="36">
        <v>0.121</v>
      </c>
      <c r="G945" s="36">
        <f>F945*0.197</f>
        <v>2.3837000000000001E-2</v>
      </c>
      <c r="H945" s="36">
        <v>3.3099999999999997E-2</v>
      </c>
      <c r="I945" s="37">
        <f>H945*0.15</f>
        <v>4.9649999999999998E-3</v>
      </c>
      <c r="J945" s="32">
        <f t="shared" si="226"/>
        <v>7.3647499999999991E-2</v>
      </c>
      <c r="K945" s="33">
        <f t="shared" si="230"/>
        <v>1.1047124999999998E-2</v>
      </c>
      <c r="L945" s="33"/>
      <c r="O945" s="2">
        <f t="shared" si="231"/>
        <v>1.3791666666666666E-2</v>
      </c>
      <c r="P945" s="2">
        <f t="shared" si="232"/>
        <v>9.93</v>
      </c>
      <c r="Q945" s="7">
        <f t="shared" si="233"/>
        <v>44.972826086956523</v>
      </c>
      <c r="R945" s="2">
        <v>1.2</v>
      </c>
      <c r="S945" s="2">
        <f t="shared" si="227"/>
        <v>4.45</v>
      </c>
      <c r="T945" s="2"/>
      <c r="U945" s="2"/>
      <c r="Y945" s="8">
        <f t="shared" si="228"/>
        <v>1.6010326086956519</v>
      </c>
    </row>
    <row r="946" spans="1:25" x14ac:dyDescent="0.25">
      <c r="A946" s="34">
        <f t="shared" si="238"/>
        <v>938</v>
      </c>
      <c r="B946" s="35">
        <f t="shared" si="238"/>
        <v>50</v>
      </c>
      <c r="C946" s="42" t="s">
        <v>265</v>
      </c>
      <c r="D946" s="43">
        <v>62</v>
      </c>
      <c r="E946" s="43"/>
      <c r="F946" s="36">
        <v>0.16120000000000001</v>
      </c>
      <c r="G946" s="36">
        <v>3.1756399999999997E-2</v>
      </c>
      <c r="H946" s="36">
        <v>5.1499999999999997E-2</v>
      </c>
      <c r="I946" s="37">
        <v>7.7250000000000001E-3</v>
      </c>
      <c r="J946" s="32">
        <f t="shared" si="226"/>
        <v>0.11458749999999999</v>
      </c>
      <c r="K946" s="33">
        <f t="shared" si="230"/>
        <v>1.7188124999999999E-2</v>
      </c>
      <c r="L946" s="33"/>
      <c r="O946" s="2">
        <f t="shared" si="231"/>
        <v>2.1458333333333333E-2</v>
      </c>
      <c r="P946" s="2">
        <f t="shared" si="232"/>
        <v>15.450000000000001</v>
      </c>
      <c r="Q946" s="7">
        <f t="shared" si="233"/>
        <v>69.97282608695653</v>
      </c>
      <c r="R946" s="2">
        <v>1.2</v>
      </c>
      <c r="S946" s="2">
        <f t="shared" si="227"/>
        <v>4.45</v>
      </c>
      <c r="T946" s="2"/>
      <c r="U946" s="2"/>
      <c r="Y946" s="8">
        <f t="shared" si="228"/>
        <v>2.4910326086956522</v>
      </c>
    </row>
    <row r="947" spans="1:25" x14ac:dyDescent="0.25">
      <c r="A947" s="34">
        <f t="shared" si="238"/>
        <v>939</v>
      </c>
      <c r="B947" s="35">
        <f t="shared" si="238"/>
        <v>51</v>
      </c>
      <c r="C947" s="42" t="s">
        <v>265</v>
      </c>
      <c r="D947" s="43">
        <v>63</v>
      </c>
      <c r="E947" s="43"/>
      <c r="F947" s="36">
        <v>0.2606</v>
      </c>
      <c r="G947" s="36">
        <v>5.1338200000000001E-2</v>
      </c>
      <c r="H947" s="36">
        <v>0.1023</v>
      </c>
      <c r="I947" s="37">
        <v>1.5344999999999999E-2</v>
      </c>
      <c r="J947" s="32">
        <f t="shared" si="226"/>
        <v>0.2276175</v>
      </c>
      <c r="K947" s="33">
        <f t="shared" si="230"/>
        <v>3.4142624999999996E-2</v>
      </c>
      <c r="L947" s="33"/>
      <c r="O947" s="2">
        <f t="shared" si="231"/>
        <v>4.2625000000000003E-2</v>
      </c>
      <c r="P947" s="2">
        <f t="shared" si="232"/>
        <v>30.690000000000005</v>
      </c>
      <c r="Q947" s="7">
        <f t="shared" si="233"/>
        <v>138.99456521739134</v>
      </c>
      <c r="R947" s="2">
        <v>1.2</v>
      </c>
      <c r="S947" s="2">
        <f t="shared" si="227"/>
        <v>4.45</v>
      </c>
      <c r="T947" s="2"/>
      <c r="U947" s="2"/>
      <c r="Y947" s="8">
        <f t="shared" si="228"/>
        <v>4.94820652173913</v>
      </c>
    </row>
    <row r="948" spans="1:25" x14ac:dyDescent="0.25">
      <c r="A948" s="34">
        <f t="shared" si="238"/>
        <v>940</v>
      </c>
      <c r="B948" s="35">
        <f t="shared" si="238"/>
        <v>52</v>
      </c>
      <c r="C948" s="42" t="s">
        <v>265</v>
      </c>
      <c r="D948" s="35">
        <v>64</v>
      </c>
      <c r="E948" s="35"/>
      <c r="F948" s="36">
        <v>0.2278</v>
      </c>
      <c r="G948" s="36">
        <f>F948*0.197</f>
        <v>4.4876600000000003E-2</v>
      </c>
      <c r="H948" s="36">
        <v>8.43E-2</v>
      </c>
      <c r="I948" s="37">
        <f>H948*0.15</f>
        <v>1.2645E-2</v>
      </c>
      <c r="J948" s="32">
        <f t="shared" si="226"/>
        <v>0.1875675</v>
      </c>
      <c r="K948" s="33">
        <f t="shared" si="230"/>
        <v>2.8135124999999997E-2</v>
      </c>
      <c r="L948" s="33"/>
      <c r="O948" s="2">
        <f t="shared" si="231"/>
        <v>3.5125000000000003E-2</v>
      </c>
      <c r="P948" s="2">
        <f t="shared" si="232"/>
        <v>25.290000000000003</v>
      </c>
      <c r="Q948" s="7">
        <f t="shared" si="233"/>
        <v>114.53804347826089</v>
      </c>
      <c r="R948" s="2">
        <v>1.2</v>
      </c>
      <c r="S948" s="2">
        <f t="shared" si="227"/>
        <v>4.45</v>
      </c>
      <c r="T948" s="2"/>
      <c r="U948" s="2"/>
      <c r="Y948" s="8">
        <f t="shared" si="228"/>
        <v>4.0775543478260872</v>
      </c>
    </row>
    <row r="949" spans="1:25" x14ac:dyDescent="0.25">
      <c r="A949" s="34">
        <f t="shared" si="238"/>
        <v>941</v>
      </c>
      <c r="B949" s="35">
        <f t="shared" si="238"/>
        <v>53</v>
      </c>
      <c r="C949" s="42" t="s">
        <v>265</v>
      </c>
      <c r="D949" s="43">
        <v>65</v>
      </c>
      <c r="E949" s="43"/>
      <c r="F949" s="36">
        <v>0.2369</v>
      </c>
      <c r="G949" s="36">
        <v>4.6669299999999997E-2</v>
      </c>
      <c r="H949" s="36">
        <v>8.4599999999999995E-2</v>
      </c>
      <c r="I949" s="37">
        <v>1.269E-2</v>
      </c>
      <c r="J949" s="32">
        <f t="shared" si="226"/>
        <v>0.18823499999999999</v>
      </c>
      <c r="K949" s="33">
        <f t="shared" si="230"/>
        <v>2.8235249999999996E-2</v>
      </c>
      <c r="L949" s="24" t="s">
        <v>16</v>
      </c>
      <c r="O949" s="2">
        <f t="shared" si="231"/>
        <v>3.5249999999999997E-2</v>
      </c>
      <c r="P949" s="2">
        <f t="shared" si="232"/>
        <v>25.379999999999995</v>
      </c>
      <c r="Q949" s="7">
        <f t="shared" si="233"/>
        <v>114.94565217391302</v>
      </c>
      <c r="R949" s="2">
        <v>1.2</v>
      </c>
      <c r="S949" s="2">
        <f t="shared" si="227"/>
        <v>4.45</v>
      </c>
      <c r="T949" s="2"/>
      <c r="U949" s="2"/>
      <c r="Y949" s="8">
        <f t="shared" si="228"/>
        <v>4.0920652173913048</v>
      </c>
    </row>
    <row r="950" spans="1:25" x14ac:dyDescent="0.25">
      <c r="A950" s="34">
        <f t="shared" si="238"/>
        <v>942</v>
      </c>
      <c r="B950" s="35">
        <f t="shared" si="238"/>
        <v>54</v>
      </c>
      <c r="C950" s="42" t="s">
        <v>265</v>
      </c>
      <c r="D950" s="43">
        <v>66</v>
      </c>
      <c r="E950" s="43"/>
      <c r="F950" s="36">
        <v>0.1085</v>
      </c>
      <c r="G950" s="36">
        <v>2.1374500000000001E-2</v>
      </c>
      <c r="H950" s="36">
        <v>3.6600000000000001E-2</v>
      </c>
      <c r="I950" s="37">
        <v>5.4900000000000001E-3</v>
      </c>
      <c r="J950" s="32">
        <f t="shared" si="226"/>
        <v>8.1435000000000007E-2</v>
      </c>
      <c r="K950" s="33">
        <f t="shared" si="230"/>
        <v>1.221525E-2</v>
      </c>
      <c r="L950" s="33"/>
      <c r="O950" s="2">
        <f t="shared" si="231"/>
        <v>1.5250000000000001E-2</v>
      </c>
      <c r="P950" s="2">
        <f t="shared" si="232"/>
        <v>10.980000000000002</v>
      </c>
      <c r="Q950" s="7">
        <f t="shared" si="233"/>
        <v>49.728260869565226</v>
      </c>
      <c r="R950" s="2">
        <v>1.2</v>
      </c>
      <c r="S950" s="2">
        <f t="shared" si="227"/>
        <v>4.45</v>
      </c>
      <c r="T950" s="2"/>
      <c r="U950" s="2"/>
      <c r="Y950" s="8">
        <f t="shared" si="228"/>
        <v>1.7703260869565218</v>
      </c>
    </row>
    <row r="951" spans="1:25" x14ac:dyDescent="0.25">
      <c r="A951" s="34">
        <f t="shared" si="238"/>
        <v>943</v>
      </c>
      <c r="B951" s="35">
        <f t="shared" si="238"/>
        <v>55</v>
      </c>
      <c r="C951" s="42" t="s">
        <v>265</v>
      </c>
      <c r="D951" s="43">
        <v>67</v>
      </c>
      <c r="E951" s="43"/>
      <c r="F951" s="36">
        <v>0.11550000000000001</v>
      </c>
      <c r="G951" s="36">
        <v>2.2753499999999999E-2</v>
      </c>
      <c r="H951" s="36">
        <v>3.8300000000000001E-2</v>
      </c>
      <c r="I951" s="37">
        <v>5.7450000000000001E-3</v>
      </c>
      <c r="J951" s="32">
        <f t="shared" si="226"/>
        <v>8.5217500000000002E-2</v>
      </c>
      <c r="K951" s="33">
        <f t="shared" si="230"/>
        <v>1.2782625000000001E-2</v>
      </c>
      <c r="L951" s="33"/>
      <c r="O951" s="2">
        <f t="shared" si="231"/>
        <v>1.5958333333333335E-2</v>
      </c>
      <c r="P951" s="2">
        <f t="shared" si="232"/>
        <v>11.49</v>
      </c>
      <c r="Q951" s="7">
        <f t="shared" si="233"/>
        <v>52.038043478260875</v>
      </c>
      <c r="R951" s="2">
        <v>1.2</v>
      </c>
      <c r="S951" s="2">
        <f t="shared" si="227"/>
        <v>4.45</v>
      </c>
      <c r="T951" s="2"/>
      <c r="U951" s="2"/>
      <c r="Y951" s="8">
        <f t="shared" si="228"/>
        <v>1.8525543478260869</v>
      </c>
    </row>
    <row r="952" spans="1:25" x14ac:dyDescent="0.25">
      <c r="A952" s="34">
        <f t="shared" si="238"/>
        <v>944</v>
      </c>
      <c r="B952" s="35">
        <f t="shared" si="238"/>
        <v>56</v>
      </c>
      <c r="C952" s="42" t="s">
        <v>265</v>
      </c>
      <c r="D952" s="35">
        <v>68</v>
      </c>
      <c r="E952" s="35"/>
      <c r="F952" s="36">
        <v>0.27679999999999999</v>
      </c>
      <c r="G952" s="36">
        <f>F952*0.197</f>
        <v>5.4529599999999998E-2</v>
      </c>
      <c r="H952" s="36">
        <v>8.5400000000000004E-2</v>
      </c>
      <c r="I952" s="37">
        <f>H952*0.15</f>
        <v>1.281E-2</v>
      </c>
      <c r="J952" s="32">
        <f t="shared" si="226"/>
        <v>0.19001500000000002</v>
      </c>
      <c r="K952" s="33">
        <f t="shared" si="230"/>
        <v>2.850225E-2</v>
      </c>
      <c r="L952" s="33"/>
      <c r="O952" s="2">
        <f t="shared" si="231"/>
        <v>3.5583333333333335E-2</v>
      </c>
      <c r="P952" s="2">
        <f t="shared" si="232"/>
        <v>25.620000000000005</v>
      </c>
      <c r="Q952" s="7">
        <f t="shared" si="233"/>
        <v>116.0326086956522</v>
      </c>
      <c r="R952" s="2">
        <v>1.2</v>
      </c>
      <c r="S952" s="2">
        <f t="shared" si="227"/>
        <v>4.45</v>
      </c>
      <c r="T952" s="2"/>
      <c r="U952" s="2"/>
      <c r="Y952" s="8">
        <f t="shared" si="228"/>
        <v>4.1307608695652176</v>
      </c>
    </row>
    <row r="953" spans="1:25" x14ac:dyDescent="0.25">
      <c r="A953" s="34">
        <f t="shared" si="238"/>
        <v>945</v>
      </c>
      <c r="B953" s="35">
        <f t="shared" si="238"/>
        <v>57</v>
      </c>
      <c r="C953" s="42" t="s">
        <v>265</v>
      </c>
      <c r="D953" s="35">
        <v>69</v>
      </c>
      <c r="E953" s="35"/>
      <c r="F953" s="36">
        <v>0.25559999999999999</v>
      </c>
      <c r="G953" s="36">
        <f>F953*0.197</f>
        <v>5.0353200000000001E-2</v>
      </c>
      <c r="H953" s="36">
        <v>8.5400000000000004E-2</v>
      </c>
      <c r="I953" s="37">
        <f>H953*0.15</f>
        <v>1.281E-2</v>
      </c>
      <c r="J953" s="32">
        <f t="shared" si="226"/>
        <v>0.19001500000000002</v>
      </c>
      <c r="K953" s="33">
        <f t="shared" si="230"/>
        <v>2.850225E-2</v>
      </c>
      <c r="L953" s="33"/>
      <c r="O953" s="2">
        <f t="shared" si="231"/>
        <v>3.5583333333333335E-2</v>
      </c>
      <c r="P953" s="2">
        <f t="shared" si="232"/>
        <v>25.620000000000005</v>
      </c>
      <c r="Q953" s="7">
        <f t="shared" si="233"/>
        <v>116.0326086956522</v>
      </c>
      <c r="R953" s="2">
        <v>1.2</v>
      </c>
      <c r="S953" s="2">
        <f t="shared" si="227"/>
        <v>4.45</v>
      </c>
      <c r="T953" s="2"/>
      <c r="U953" s="2"/>
      <c r="Y953" s="8">
        <f t="shared" si="228"/>
        <v>4.1307608695652176</v>
      </c>
    </row>
    <row r="954" spans="1:25" x14ac:dyDescent="0.25">
      <c r="A954" s="34">
        <f t="shared" si="238"/>
        <v>946</v>
      </c>
      <c r="B954" s="35">
        <f t="shared" si="238"/>
        <v>58</v>
      </c>
      <c r="C954" s="42" t="s">
        <v>265</v>
      </c>
      <c r="D954" s="43">
        <v>70</v>
      </c>
      <c r="E954" s="43"/>
      <c r="F954" s="36">
        <v>0.1913</v>
      </c>
      <c r="G954" s="36">
        <v>3.76861E-2</v>
      </c>
      <c r="H954" s="36">
        <v>6.3299999999999995E-2</v>
      </c>
      <c r="I954" s="37">
        <v>9.495E-3</v>
      </c>
      <c r="J954" s="32">
        <f t="shared" si="226"/>
        <v>0.14084249999999998</v>
      </c>
      <c r="K954" s="33">
        <f t="shared" si="230"/>
        <v>2.1126374999999996E-2</v>
      </c>
      <c r="L954" s="33"/>
      <c r="O954" s="2">
        <f t="shared" si="231"/>
        <v>2.6374999999999999E-2</v>
      </c>
      <c r="P954" s="2">
        <f t="shared" si="232"/>
        <v>18.990000000000002</v>
      </c>
      <c r="Q954" s="7">
        <f t="shared" si="233"/>
        <v>86.005434782608702</v>
      </c>
      <c r="R954" s="2">
        <v>1.2</v>
      </c>
      <c r="S954" s="2">
        <f t="shared" si="227"/>
        <v>4.45</v>
      </c>
      <c r="T954" s="2"/>
      <c r="U954" s="2"/>
      <c r="Y954" s="8">
        <f t="shared" si="228"/>
        <v>3.0617934782608689</v>
      </c>
    </row>
    <row r="955" spans="1:25" x14ac:dyDescent="0.25">
      <c r="A955" s="34">
        <f t="shared" si="238"/>
        <v>947</v>
      </c>
      <c r="B955" s="35">
        <f t="shared" si="238"/>
        <v>59</v>
      </c>
      <c r="C955" s="42" t="s">
        <v>265</v>
      </c>
      <c r="D955" s="43">
        <v>71</v>
      </c>
      <c r="E955" s="43"/>
      <c r="F955" s="36">
        <v>0.22489999999999999</v>
      </c>
      <c r="G955" s="36">
        <v>4.4305299999999999E-2</v>
      </c>
      <c r="H955" s="36">
        <v>7.0599999999999996E-2</v>
      </c>
      <c r="I955" s="37">
        <v>1.059E-2</v>
      </c>
      <c r="J955" s="32">
        <f t="shared" si="226"/>
        <v>0.157085</v>
      </c>
      <c r="K955" s="33">
        <f t="shared" si="230"/>
        <v>2.356275E-2</v>
      </c>
      <c r="L955" s="33"/>
      <c r="O955" s="2">
        <f t="shared" si="231"/>
        <v>2.9416666666666667E-2</v>
      </c>
      <c r="P955" s="2">
        <f t="shared" si="232"/>
        <v>21.18</v>
      </c>
      <c r="Q955" s="7">
        <f t="shared" si="233"/>
        <v>95.923913043478265</v>
      </c>
      <c r="R955" s="2">
        <v>1.2</v>
      </c>
      <c r="S955" s="2">
        <f t="shared" si="227"/>
        <v>4.45</v>
      </c>
      <c r="T955" s="2"/>
      <c r="U955" s="2"/>
      <c r="Y955" s="8">
        <f t="shared" si="228"/>
        <v>3.4148913043478264</v>
      </c>
    </row>
    <row r="956" spans="1:25" x14ac:dyDescent="0.25">
      <c r="A956" s="34">
        <f t="shared" ref="A956:B971" si="239">A955+1</f>
        <v>948</v>
      </c>
      <c r="B956" s="35">
        <f t="shared" si="239"/>
        <v>60</v>
      </c>
      <c r="C956" s="42" t="s">
        <v>265</v>
      </c>
      <c r="D956" s="43">
        <v>72</v>
      </c>
      <c r="E956" s="43"/>
      <c r="F956" s="36">
        <v>0.1012</v>
      </c>
      <c r="G956" s="36">
        <v>1.99364E-2</v>
      </c>
      <c r="H956" s="36">
        <v>4.0099999999999997E-2</v>
      </c>
      <c r="I956" s="37">
        <v>6.0150000000000004E-3</v>
      </c>
      <c r="J956" s="32">
        <f t="shared" si="226"/>
        <v>8.9222499999999996E-2</v>
      </c>
      <c r="K956" s="33">
        <f t="shared" si="230"/>
        <v>1.3383374999999999E-2</v>
      </c>
      <c r="L956" s="33"/>
      <c r="O956" s="2">
        <f t="shared" si="231"/>
        <v>1.6708333333333332E-2</v>
      </c>
      <c r="P956" s="2">
        <f t="shared" si="232"/>
        <v>12.03</v>
      </c>
      <c r="Q956" s="7">
        <f t="shared" si="233"/>
        <v>54.483695652173914</v>
      </c>
      <c r="R956" s="2">
        <v>1.2</v>
      </c>
      <c r="S956" s="2">
        <f t="shared" si="227"/>
        <v>4.45</v>
      </c>
      <c r="T956" s="2"/>
      <c r="U956" s="2"/>
      <c r="Y956" s="8">
        <f t="shared" si="228"/>
        <v>1.9396195652173911</v>
      </c>
    </row>
    <row r="957" spans="1:25" x14ac:dyDescent="0.25">
      <c r="A957" s="34">
        <f t="shared" si="239"/>
        <v>949</v>
      </c>
      <c r="B957" s="35">
        <f t="shared" si="239"/>
        <v>61</v>
      </c>
      <c r="C957" s="42" t="s">
        <v>265</v>
      </c>
      <c r="D957" s="43">
        <v>73</v>
      </c>
      <c r="E957" s="43"/>
      <c r="F957" s="36">
        <v>0.19059999999999999</v>
      </c>
      <c r="G957" s="36">
        <v>3.7548199999999997E-2</v>
      </c>
      <c r="H957" s="36">
        <v>6.9900000000000004E-2</v>
      </c>
      <c r="I957" s="37">
        <v>1.0485E-2</v>
      </c>
      <c r="J957" s="32">
        <f t="shared" si="226"/>
        <v>0.15552750000000001</v>
      </c>
      <c r="K957" s="33">
        <f t="shared" si="230"/>
        <v>2.3329125000000003E-2</v>
      </c>
      <c r="L957" s="33"/>
      <c r="O957" s="2">
        <f t="shared" si="231"/>
        <v>2.9125000000000002E-2</v>
      </c>
      <c r="P957" s="2">
        <f t="shared" si="232"/>
        <v>20.970000000000002</v>
      </c>
      <c r="Q957" s="7">
        <f t="shared" si="233"/>
        <v>94.97282608695653</v>
      </c>
      <c r="R957" s="2">
        <v>1.2</v>
      </c>
      <c r="S957" s="2">
        <f t="shared" si="227"/>
        <v>4.45</v>
      </c>
      <c r="T957" s="2"/>
      <c r="U957" s="2"/>
      <c r="Y957" s="8">
        <f t="shared" si="228"/>
        <v>3.3810326086956524</v>
      </c>
    </row>
    <row r="958" spans="1:25" x14ac:dyDescent="0.25">
      <c r="A958" s="34">
        <f t="shared" si="239"/>
        <v>950</v>
      </c>
      <c r="B958" s="35">
        <f t="shared" si="239"/>
        <v>62</v>
      </c>
      <c r="C958" s="42" t="s">
        <v>265</v>
      </c>
      <c r="D958" s="35">
        <v>77</v>
      </c>
      <c r="E958" s="35"/>
      <c r="F958" s="36">
        <v>0.1895</v>
      </c>
      <c r="G958" s="36">
        <f>F958*0.197</f>
        <v>3.7331500000000004E-2</v>
      </c>
      <c r="H958" s="36">
        <v>6.8400000000000002E-2</v>
      </c>
      <c r="I958" s="37">
        <f>H958*0.15</f>
        <v>1.026E-2</v>
      </c>
      <c r="J958" s="32">
        <f t="shared" si="226"/>
        <v>0.15219000000000002</v>
      </c>
      <c r="K958" s="33">
        <f t="shared" si="230"/>
        <v>2.2828500000000002E-2</v>
      </c>
      <c r="L958" s="33"/>
      <c r="O958" s="2">
        <f t="shared" si="231"/>
        <v>2.8500000000000001E-2</v>
      </c>
      <c r="P958" s="2">
        <f t="shared" si="232"/>
        <v>20.520000000000003</v>
      </c>
      <c r="Q958" s="7">
        <f t="shared" si="233"/>
        <v>92.93478260869567</v>
      </c>
      <c r="R958" s="2">
        <v>1.2</v>
      </c>
      <c r="S958" s="2">
        <f t="shared" si="227"/>
        <v>4.45</v>
      </c>
      <c r="T958" s="2"/>
      <c r="U958" s="2"/>
      <c r="Y958" s="8">
        <f t="shared" si="228"/>
        <v>3.3084782608695655</v>
      </c>
    </row>
    <row r="959" spans="1:25" x14ac:dyDescent="0.25">
      <c r="A959" s="34">
        <f t="shared" si="239"/>
        <v>951</v>
      </c>
      <c r="B959" s="35">
        <f t="shared" si="239"/>
        <v>63</v>
      </c>
      <c r="C959" s="42" t="s">
        <v>265</v>
      </c>
      <c r="D959" s="35">
        <v>78</v>
      </c>
      <c r="E959" s="35"/>
      <c r="F959" s="36">
        <v>9.6100000000000005E-2</v>
      </c>
      <c r="G959" s="36">
        <f>F959*0.197</f>
        <v>1.8931700000000003E-2</v>
      </c>
      <c r="H959" s="36">
        <v>3.2399999999999998E-2</v>
      </c>
      <c r="I959" s="37">
        <f>H959*0.15</f>
        <v>4.8599999999999997E-3</v>
      </c>
      <c r="J959" s="32">
        <f t="shared" si="226"/>
        <v>7.2090000000000001E-2</v>
      </c>
      <c r="K959" s="33">
        <f t="shared" si="230"/>
        <v>1.08135E-2</v>
      </c>
      <c r="L959" s="33"/>
      <c r="O959" s="2">
        <f t="shared" si="231"/>
        <v>1.35E-2</v>
      </c>
      <c r="P959" s="2">
        <f t="shared" si="232"/>
        <v>9.7200000000000006</v>
      </c>
      <c r="Q959" s="7">
        <f t="shared" si="233"/>
        <v>44.021739130434788</v>
      </c>
      <c r="R959" s="2">
        <v>1.2</v>
      </c>
      <c r="S959" s="2">
        <f t="shared" si="227"/>
        <v>4.45</v>
      </c>
      <c r="T959" s="2"/>
      <c r="U959" s="2"/>
      <c r="Y959" s="8">
        <f t="shared" si="228"/>
        <v>1.5671739130434783</v>
      </c>
    </row>
    <row r="960" spans="1:25" x14ac:dyDescent="0.25">
      <c r="A960" s="34">
        <f t="shared" si="239"/>
        <v>952</v>
      </c>
      <c r="B960" s="35">
        <f t="shared" si="239"/>
        <v>64</v>
      </c>
      <c r="C960" s="42" t="s">
        <v>265</v>
      </c>
      <c r="D960" s="43">
        <v>79</v>
      </c>
      <c r="E960" s="43"/>
      <c r="F960" s="36">
        <v>5.8799999999999998E-2</v>
      </c>
      <c r="G960" s="36">
        <v>1.1583599999999999E-2</v>
      </c>
      <c r="H960" s="36">
        <v>3.0200000000000001E-2</v>
      </c>
      <c r="I960" s="37">
        <v>4.5300000000000002E-3</v>
      </c>
      <c r="J960" s="32">
        <f t="shared" si="226"/>
        <v>6.7194999999999991E-2</v>
      </c>
      <c r="K960" s="33">
        <f t="shared" si="230"/>
        <v>1.0079249999999998E-2</v>
      </c>
      <c r="L960" s="33"/>
      <c r="O960" s="2">
        <f t="shared" si="231"/>
        <v>1.2583333333333334E-2</v>
      </c>
      <c r="P960" s="2">
        <f t="shared" si="232"/>
        <v>9.06</v>
      </c>
      <c r="Q960" s="7">
        <f t="shared" si="233"/>
        <v>41.032608695652179</v>
      </c>
      <c r="R960" s="2">
        <v>1.2</v>
      </c>
      <c r="S960" s="2">
        <f t="shared" si="227"/>
        <v>4.45</v>
      </c>
      <c r="T960" s="2"/>
      <c r="U960" s="2"/>
      <c r="Y960" s="8">
        <f t="shared" si="228"/>
        <v>1.460760869565217</v>
      </c>
    </row>
    <row r="961" spans="1:25" x14ac:dyDescent="0.25">
      <c r="A961" s="34">
        <f t="shared" si="239"/>
        <v>953</v>
      </c>
      <c r="B961" s="35">
        <f t="shared" si="239"/>
        <v>65</v>
      </c>
      <c r="C961" s="42" t="s">
        <v>265</v>
      </c>
      <c r="D961" s="43">
        <v>80</v>
      </c>
      <c r="E961" s="43">
        <v>1</v>
      </c>
      <c r="F961" s="36">
        <v>0.1066</v>
      </c>
      <c r="G961" s="36">
        <v>2.10002E-2</v>
      </c>
      <c r="H961" s="36">
        <v>0.125</v>
      </c>
      <c r="I961" s="37">
        <f>H961*0.15</f>
        <v>1.8749999999999999E-2</v>
      </c>
      <c r="J961" s="32">
        <f t="shared" si="226"/>
        <v>0.23125000000000001</v>
      </c>
      <c r="K961" s="33">
        <f t="shared" si="230"/>
        <v>3.4687500000000003E-2</v>
      </c>
      <c r="L961" s="33"/>
      <c r="O961" s="2">
        <f t="shared" si="231"/>
        <v>5.2083333333333336E-2</v>
      </c>
      <c r="P961" s="2">
        <f t="shared" si="232"/>
        <v>37.5</v>
      </c>
      <c r="Q961" s="7">
        <f t="shared" si="233"/>
        <v>169.83695652173913</v>
      </c>
      <c r="R961" s="2">
        <v>1.2</v>
      </c>
      <c r="S961" s="2">
        <f t="shared" si="227"/>
        <v>3.7</v>
      </c>
      <c r="T961" s="2"/>
      <c r="U961" s="2"/>
      <c r="Y961" s="8">
        <f t="shared" si="228"/>
        <v>5.0271739130434785</v>
      </c>
    </row>
    <row r="962" spans="1:25" x14ac:dyDescent="0.25">
      <c r="A962" s="34">
        <f t="shared" si="239"/>
        <v>954</v>
      </c>
      <c r="B962" s="35">
        <f t="shared" si="239"/>
        <v>66</v>
      </c>
      <c r="C962" s="42" t="s">
        <v>265</v>
      </c>
      <c r="D962" s="43">
        <v>80</v>
      </c>
      <c r="E962" s="43">
        <v>2</v>
      </c>
      <c r="F962" s="36">
        <v>0.1066</v>
      </c>
      <c r="G962" s="36">
        <v>2.10002E-2</v>
      </c>
      <c r="H962" s="36">
        <v>0</v>
      </c>
      <c r="I962" s="37">
        <v>0</v>
      </c>
      <c r="J962" s="32">
        <f t="shared" si="226"/>
        <v>0</v>
      </c>
      <c r="K962" s="33">
        <f t="shared" si="230"/>
        <v>0</v>
      </c>
      <c r="L962" s="33"/>
      <c r="O962" s="2">
        <f t="shared" si="231"/>
        <v>0</v>
      </c>
      <c r="P962" s="2">
        <f t="shared" si="232"/>
        <v>0</v>
      </c>
      <c r="Q962" s="7">
        <f t="shared" si="233"/>
        <v>0</v>
      </c>
      <c r="R962" s="2">
        <v>1.2</v>
      </c>
      <c r="S962" s="2">
        <f t="shared" si="227"/>
        <v>4.45</v>
      </c>
      <c r="T962" s="2"/>
      <c r="U962" s="2"/>
      <c r="Y962" s="8">
        <f t="shared" si="228"/>
        <v>0</v>
      </c>
    </row>
    <row r="963" spans="1:25" x14ac:dyDescent="0.25">
      <c r="A963" s="34">
        <f t="shared" si="239"/>
        <v>955</v>
      </c>
      <c r="B963" s="35">
        <f t="shared" si="239"/>
        <v>67</v>
      </c>
      <c r="C963" s="42" t="s">
        <v>265</v>
      </c>
      <c r="D963" s="43">
        <v>81</v>
      </c>
      <c r="E963" s="43"/>
      <c r="F963" s="36">
        <v>6.8099999999999994E-2</v>
      </c>
      <c r="G963" s="36">
        <v>1.3415699999999999E-2</v>
      </c>
      <c r="H963" s="36">
        <v>3.8300000000000001E-2</v>
      </c>
      <c r="I963" s="37">
        <v>5.7450000000000001E-3</v>
      </c>
      <c r="J963" s="32">
        <f t="shared" si="226"/>
        <v>8.5217500000000002E-2</v>
      </c>
      <c r="K963" s="33">
        <f t="shared" si="230"/>
        <v>1.2782625000000001E-2</v>
      </c>
      <c r="L963" s="33"/>
      <c r="O963" s="2">
        <f t="shared" si="231"/>
        <v>1.5958333333333335E-2</v>
      </c>
      <c r="P963" s="2">
        <f t="shared" si="232"/>
        <v>11.49</v>
      </c>
      <c r="Q963" s="7">
        <f t="shared" si="233"/>
        <v>52.038043478260875</v>
      </c>
      <c r="R963" s="2">
        <v>1.2</v>
      </c>
      <c r="S963" s="2">
        <f t="shared" si="227"/>
        <v>4.45</v>
      </c>
      <c r="T963" s="2"/>
      <c r="U963" s="2"/>
      <c r="Y963" s="8">
        <f t="shared" si="228"/>
        <v>1.8525543478260869</v>
      </c>
    </row>
    <row r="964" spans="1:25" x14ac:dyDescent="0.25">
      <c r="A964" s="34">
        <f t="shared" si="239"/>
        <v>956</v>
      </c>
      <c r="B964" s="35">
        <f t="shared" si="239"/>
        <v>68</v>
      </c>
      <c r="C964" s="42" t="s">
        <v>265</v>
      </c>
      <c r="D964" s="35">
        <v>82</v>
      </c>
      <c r="E964" s="35"/>
      <c r="F964" s="36">
        <v>6.8000000000000005E-2</v>
      </c>
      <c r="G964" s="36">
        <f>F964*0.197</f>
        <v>1.3396000000000002E-2</v>
      </c>
      <c r="H964" s="36">
        <v>2.5700000000000001E-2</v>
      </c>
      <c r="I964" s="37">
        <f>H964*0.15</f>
        <v>3.8549999999999999E-3</v>
      </c>
      <c r="J964" s="32">
        <f t="shared" si="226"/>
        <v>5.7182500000000004E-2</v>
      </c>
      <c r="K964" s="33">
        <f t="shared" si="230"/>
        <v>8.5773749999999999E-3</v>
      </c>
      <c r="L964" s="33"/>
      <c r="O964" s="2">
        <f t="shared" si="231"/>
        <v>1.0708333333333334E-2</v>
      </c>
      <c r="P964" s="2">
        <f t="shared" si="232"/>
        <v>7.71</v>
      </c>
      <c r="Q964" s="7">
        <f t="shared" si="233"/>
        <v>34.918478260869563</v>
      </c>
      <c r="R964" s="2">
        <v>1.2</v>
      </c>
      <c r="S964" s="2">
        <f t="shared" si="227"/>
        <v>4.45</v>
      </c>
      <c r="T964" s="2"/>
      <c r="U964" s="2"/>
      <c r="Y964" s="8">
        <f t="shared" si="228"/>
        <v>1.2430978260869565</v>
      </c>
    </row>
    <row r="965" spans="1:25" x14ac:dyDescent="0.25">
      <c r="A965" s="34">
        <f t="shared" si="239"/>
        <v>957</v>
      </c>
      <c r="B965" s="35">
        <f t="shared" si="239"/>
        <v>69</v>
      </c>
      <c r="C965" s="42" t="s">
        <v>265</v>
      </c>
      <c r="D965" s="35">
        <v>83</v>
      </c>
      <c r="E965" s="35"/>
      <c r="F965" s="36">
        <v>0.21820000000000001</v>
      </c>
      <c r="G965" s="36">
        <f>F965*0.197</f>
        <v>4.29854E-2</v>
      </c>
      <c r="H965" s="36">
        <v>9.7900000000000001E-2</v>
      </c>
      <c r="I965" s="37">
        <f>H965*0.15</f>
        <v>1.4685E-2</v>
      </c>
      <c r="J965" s="32">
        <f t="shared" si="226"/>
        <v>0.21782750000000001</v>
      </c>
      <c r="K965" s="33">
        <f t="shared" si="230"/>
        <v>3.2674124999999998E-2</v>
      </c>
      <c r="L965" s="33"/>
      <c r="O965" s="2">
        <f t="shared" si="231"/>
        <v>4.0791666666666671E-2</v>
      </c>
      <c r="P965" s="2">
        <f t="shared" si="232"/>
        <v>29.370000000000005</v>
      </c>
      <c r="Q965" s="7">
        <f t="shared" si="233"/>
        <v>133.01630434782612</v>
      </c>
      <c r="R965" s="2">
        <v>1.2</v>
      </c>
      <c r="S965" s="2">
        <f t="shared" si="227"/>
        <v>4.45</v>
      </c>
      <c r="T965" s="2"/>
      <c r="U965" s="2"/>
      <c r="Y965" s="8">
        <f t="shared" si="228"/>
        <v>4.7353804347826092</v>
      </c>
    </row>
    <row r="966" spans="1:25" x14ac:dyDescent="0.25">
      <c r="A966" s="34">
        <f t="shared" si="239"/>
        <v>958</v>
      </c>
      <c r="B966" s="35">
        <f t="shared" si="239"/>
        <v>70</v>
      </c>
      <c r="C966" s="42" t="s">
        <v>265</v>
      </c>
      <c r="D966" s="35">
        <v>84</v>
      </c>
      <c r="E966" s="35"/>
      <c r="F966" s="36">
        <v>0.12039999999999999</v>
      </c>
      <c r="G966" s="36">
        <f>F966*0.197</f>
        <v>2.3718799999999998E-2</v>
      </c>
      <c r="H966" s="36">
        <v>4.9299999999999997E-2</v>
      </c>
      <c r="I966" s="37">
        <f>H966*0.15</f>
        <v>7.3949999999999988E-3</v>
      </c>
      <c r="J966" s="32">
        <f t="shared" si="226"/>
        <v>0.1096925</v>
      </c>
      <c r="K966" s="33">
        <f t="shared" si="230"/>
        <v>1.6453875E-2</v>
      </c>
      <c r="L966" s="33"/>
      <c r="O966" s="2">
        <f t="shared" si="231"/>
        <v>2.0541666666666666E-2</v>
      </c>
      <c r="P966" s="2">
        <f t="shared" si="232"/>
        <v>14.79</v>
      </c>
      <c r="Q966" s="7">
        <f t="shared" si="233"/>
        <v>66.983695652173907</v>
      </c>
      <c r="R966" s="2">
        <v>1.2</v>
      </c>
      <c r="S966" s="2">
        <f t="shared" si="227"/>
        <v>4.45</v>
      </c>
      <c r="T966" s="2"/>
      <c r="U966" s="2"/>
      <c r="Y966" s="8">
        <f t="shared" si="228"/>
        <v>2.3846195652173914</v>
      </c>
    </row>
    <row r="967" spans="1:25" x14ac:dyDescent="0.25">
      <c r="A967" s="34">
        <f t="shared" si="239"/>
        <v>959</v>
      </c>
      <c r="B967" s="35">
        <f t="shared" si="239"/>
        <v>71</v>
      </c>
      <c r="C967" s="42" t="s">
        <v>265</v>
      </c>
      <c r="D967" s="43">
        <v>85</v>
      </c>
      <c r="E967" s="43"/>
      <c r="F967" s="36">
        <v>0.16819999999999999</v>
      </c>
      <c r="G967" s="36">
        <v>3.3135400000000002E-2</v>
      </c>
      <c r="H967" s="36">
        <v>8.2400000000000001E-2</v>
      </c>
      <c r="I967" s="37">
        <v>1.2359999999999999E-2</v>
      </c>
      <c r="J967" s="32">
        <f t="shared" si="226"/>
        <v>0.18334</v>
      </c>
      <c r="K967" s="33">
        <f t="shared" si="230"/>
        <v>2.7501000000000001E-2</v>
      </c>
      <c r="L967" s="33"/>
      <c r="O967" s="2">
        <f t="shared" si="231"/>
        <v>3.4333333333333334E-2</v>
      </c>
      <c r="P967" s="2">
        <f t="shared" si="232"/>
        <v>24.720000000000002</v>
      </c>
      <c r="Q967" s="7">
        <f t="shared" si="233"/>
        <v>111.95652173913045</v>
      </c>
      <c r="R967" s="2">
        <v>1.2</v>
      </c>
      <c r="S967" s="2">
        <f t="shared" si="227"/>
        <v>4.45</v>
      </c>
      <c r="T967" s="2"/>
      <c r="U967" s="2"/>
      <c r="Y967" s="8">
        <f t="shared" si="228"/>
        <v>3.9856521739130439</v>
      </c>
    </row>
    <row r="968" spans="1:25" x14ac:dyDescent="0.25">
      <c r="A968" s="34">
        <f t="shared" si="239"/>
        <v>960</v>
      </c>
      <c r="B968" s="35">
        <f t="shared" si="239"/>
        <v>72</v>
      </c>
      <c r="C968" s="42" t="s">
        <v>265</v>
      </c>
      <c r="D968" s="35">
        <v>86</v>
      </c>
      <c r="E968" s="35"/>
      <c r="F968" s="36">
        <v>0.21099999999999999</v>
      </c>
      <c r="G968" s="36">
        <f>F968*0.197</f>
        <v>4.1567E-2</v>
      </c>
      <c r="H968" s="36">
        <v>8.48E-2</v>
      </c>
      <c r="I968" s="37">
        <f>H968*0.15</f>
        <v>1.272E-2</v>
      </c>
      <c r="J968" s="32">
        <f t="shared" si="226"/>
        <v>0.18868000000000001</v>
      </c>
      <c r="K968" s="33">
        <f t="shared" si="230"/>
        <v>2.8302000000000001E-2</v>
      </c>
      <c r="L968" s="33"/>
      <c r="O968" s="2">
        <f t="shared" si="231"/>
        <v>3.5333333333333335E-2</v>
      </c>
      <c r="P968" s="2">
        <f t="shared" si="232"/>
        <v>25.44</v>
      </c>
      <c r="Q968" s="7">
        <f t="shared" si="233"/>
        <v>115.21739130434783</v>
      </c>
      <c r="R968" s="2">
        <v>1.2</v>
      </c>
      <c r="S968" s="2">
        <f t="shared" si="227"/>
        <v>4.45</v>
      </c>
      <c r="T968" s="2"/>
      <c r="U968" s="2"/>
      <c r="Y968" s="8">
        <f t="shared" si="228"/>
        <v>4.1017391304347832</v>
      </c>
    </row>
    <row r="969" spans="1:25" x14ac:dyDescent="0.25">
      <c r="A969" s="34">
        <f t="shared" si="239"/>
        <v>961</v>
      </c>
      <c r="B969" s="35">
        <f t="shared" si="239"/>
        <v>73</v>
      </c>
      <c r="C969" s="42" t="s">
        <v>265</v>
      </c>
      <c r="D969" s="35">
        <v>91</v>
      </c>
      <c r="E969" s="35"/>
      <c r="F969" s="36">
        <v>0.22750000000000001</v>
      </c>
      <c r="G969" s="36">
        <f>F969*0.197</f>
        <v>4.4817500000000003E-2</v>
      </c>
      <c r="H969" s="36">
        <v>9.7154000000000004E-2</v>
      </c>
      <c r="I969" s="37">
        <f>H969*0.15</f>
        <v>1.45731E-2</v>
      </c>
      <c r="J969" s="32">
        <f t="shared" ref="J969:J1032" si="240">O969*R969*S969</f>
        <v>0.21616765000000002</v>
      </c>
      <c r="K969" s="33">
        <f t="shared" si="230"/>
        <v>3.2425147500000001E-2</v>
      </c>
      <c r="L969" s="33"/>
      <c r="O969" s="2">
        <f t="shared" si="231"/>
        <v>4.0480833333333334E-2</v>
      </c>
      <c r="P969" s="2">
        <f t="shared" si="232"/>
        <v>29.1462</v>
      </c>
      <c r="Q969" s="7">
        <f t="shared" si="233"/>
        <v>132.00271739130434</v>
      </c>
      <c r="R969" s="2">
        <v>1.2</v>
      </c>
      <c r="S969" s="2">
        <f t="shared" ref="S969:S1032" si="241">IF(Q969&lt;=$AE$6,$AF$6,IF(Q969&lt;=$AE$7,$AF$7,IF(Q969&lt;=$AE$8,$AF$8,IF(Q969&lt;=$AE$9,$AF$9,IF(Q969&lt;=$AE$10,$AF$10,0)))))</f>
        <v>4.45</v>
      </c>
      <c r="T969" s="2"/>
      <c r="U969" s="2"/>
      <c r="Y969" s="8">
        <f t="shared" ref="Y969:Y1032" si="242">J969/46*1000</f>
        <v>4.6992967391304354</v>
      </c>
    </row>
    <row r="970" spans="1:25" x14ac:dyDescent="0.25">
      <c r="A970" s="34">
        <f t="shared" si="239"/>
        <v>962</v>
      </c>
      <c r="B970" s="35">
        <f t="shared" si="239"/>
        <v>74</v>
      </c>
      <c r="C970" s="42" t="s">
        <v>265</v>
      </c>
      <c r="D970" s="35">
        <v>92</v>
      </c>
      <c r="E970" s="35"/>
      <c r="F970" s="36">
        <v>0.22750000000000001</v>
      </c>
      <c r="G970" s="36">
        <f>F970*0.197</f>
        <v>4.4817500000000003E-2</v>
      </c>
      <c r="H970" s="36">
        <v>9.4899999999999998E-2</v>
      </c>
      <c r="I970" s="37">
        <f>H970*0.15</f>
        <v>1.4234999999999999E-2</v>
      </c>
      <c r="J970" s="32">
        <f t="shared" si="240"/>
        <v>0.21115249999999999</v>
      </c>
      <c r="K970" s="33">
        <f t="shared" ref="K970:K1033" si="243">J970*0.15</f>
        <v>3.1672874999999996E-2</v>
      </c>
      <c r="L970" s="33"/>
      <c r="O970" s="2">
        <f t="shared" si="231"/>
        <v>3.9541666666666669E-2</v>
      </c>
      <c r="P970" s="2">
        <f t="shared" si="232"/>
        <v>28.470000000000002</v>
      </c>
      <c r="Q970" s="7">
        <f t="shared" si="233"/>
        <v>128.94021739130437</v>
      </c>
      <c r="R970" s="2">
        <v>1.2</v>
      </c>
      <c r="S970" s="2">
        <f t="shared" si="241"/>
        <v>4.45</v>
      </c>
      <c r="T970" s="2"/>
      <c r="U970" s="2"/>
      <c r="Y970" s="8">
        <f t="shared" si="242"/>
        <v>4.5902717391304346</v>
      </c>
    </row>
    <row r="971" spans="1:25" x14ac:dyDescent="0.25">
      <c r="A971" s="34">
        <f t="shared" si="239"/>
        <v>963</v>
      </c>
      <c r="B971" s="35">
        <f t="shared" si="239"/>
        <v>75</v>
      </c>
      <c r="C971" s="42" t="s">
        <v>265</v>
      </c>
      <c r="D971" s="43">
        <v>94</v>
      </c>
      <c r="E971" s="43"/>
      <c r="F971" s="36">
        <v>0.2596</v>
      </c>
      <c r="G971" s="36">
        <v>5.1141199999999998E-2</v>
      </c>
      <c r="H971" s="36">
        <v>9.7900000000000001E-2</v>
      </c>
      <c r="I971" s="37">
        <v>1.4685E-2</v>
      </c>
      <c r="J971" s="32">
        <f t="shared" si="240"/>
        <v>0.21782750000000001</v>
      </c>
      <c r="K971" s="33">
        <f t="shared" si="243"/>
        <v>3.2674124999999998E-2</v>
      </c>
      <c r="L971" s="33"/>
      <c r="O971" s="2">
        <f t="shared" ref="O971:O1034" si="244">H971/2.4</f>
        <v>4.0791666666666671E-2</v>
      </c>
      <c r="P971" s="2">
        <f t="shared" ref="P971:P1034" si="245">O971*24*30</f>
        <v>29.370000000000005</v>
      </c>
      <c r="Q971" s="7">
        <f t="shared" ref="Q971:Q1034" si="246">P971/0.2208</f>
        <v>133.01630434782612</v>
      </c>
      <c r="R971" s="2">
        <v>1.2</v>
      </c>
      <c r="S971" s="2">
        <f t="shared" si="241"/>
        <v>4.45</v>
      </c>
      <c r="T971" s="2"/>
      <c r="U971" s="2"/>
      <c r="Y971" s="8">
        <f t="shared" si="242"/>
        <v>4.7353804347826092</v>
      </c>
    </row>
    <row r="972" spans="1:25" x14ac:dyDescent="0.25">
      <c r="A972" s="34">
        <f t="shared" ref="A972:B987" si="247">A971+1</f>
        <v>964</v>
      </c>
      <c r="B972" s="35">
        <f t="shared" si="247"/>
        <v>76</v>
      </c>
      <c r="C972" s="42" t="s">
        <v>265</v>
      </c>
      <c r="D972" s="43">
        <v>95</v>
      </c>
      <c r="E972" s="43"/>
      <c r="F972" s="36">
        <v>0.22750000000000001</v>
      </c>
      <c r="G972" s="36">
        <v>4.4817500000000003E-2</v>
      </c>
      <c r="H972" s="36">
        <v>9.1300000000000006E-2</v>
      </c>
      <c r="I972" s="37">
        <v>1.3695000000000001E-2</v>
      </c>
      <c r="J972" s="32">
        <f t="shared" si="240"/>
        <v>0.20314250000000003</v>
      </c>
      <c r="K972" s="33">
        <f t="shared" si="243"/>
        <v>3.0471375000000002E-2</v>
      </c>
      <c r="L972" s="33"/>
      <c r="O972" s="2">
        <f t="shared" si="244"/>
        <v>3.8041666666666668E-2</v>
      </c>
      <c r="P972" s="2">
        <f t="shared" si="245"/>
        <v>27.39</v>
      </c>
      <c r="Q972" s="7">
        <f t="shared" si="246"/>
        <v>124.04891304347827</v>
      </c>
      <c r="R972" s="2">
        <v>1.2</v>
      </c>
      <c r="S972" s="2">
        <f t="shared" si="241"/>
        <v>4.45</v>
      </c>
      <c r="T972" s="2"/>
      <c r="U972" s="2"/>
      <c r="Y972" s="8">
        <f t="shared" si="242"/>
        <v>4.4161413043478266</v>
      </c>
    </row>
    <row r="973" spans="1:25" ht="30" x14ac:dyDescent="0.25">
      <c r="A973" s="34">
        <f t="shared" si="247"/>
        <v>965</v>
      </c>
      <c r="B973" s="35">
        <f t="shared" si="247"/>
        <v>77</v>
      </c>
      <c r="C973" s="40" t="s">
        <v>268</v>
      </c>
      <c r="D973" s="35" t="s">
        <v>190</v>
      </c>
      <c r="E973" s="35"/>
      <c r="F973" s="36">
        <v>0.2455</v>
      </c>
      <c r="G973" s="36">
        <f>F973*0.197</f>
        <v>4.8363500000000004E-2</v>
      </c>
      <c r="H973" s="36">
        <v>9.2700000000000005E-2</v>
      </c>
      <c r="I973" s="37">
        <f>H973*0.15</f>
        <v>1.3905000000000001E-2</v>
      </c>
      <c r="J973" s="32">
        <f t="shared" si="240"/>
        <v>0.20625750000000004</v>
      </c>
      <c r="K973" s="33">
        <f t="shared" si="243"/>
        <v>3.0938625000000004E-2</v>
      </c>
      <c r="L973" s="33"/>
      <c r="O973" s="2">
        <f t="shared" si="244"/>
        <v>3.8625000000000007E-2</v>
      </c>
      <c r="P973" s="2">
        <f t="shared" si="245"/>
        <v>27.810000000000006</v>
      </c>
      <c r="Q973" s="7">
        <f t="shared" si="246"/>
        <v>125.95108695652176</v>
      </c>
      <c r="R973" s="2">
        <v>1.2</v>
      </c>
      <c r="S973" s="2">
        <f t="shared" si="241"/>
        <v>4.45</v>
      </c>
      <c r="T973" s="2"/>
      <c r="U973" s="2"/>
      <c r="Y973" s="8">
        <f t="shared" si="242"/>
        <v>4.4838586956521747</v>
      </c>
    </row>
    <row r="974" spans="1:25" ht="30" x14ac:dyDescent="0.25">
      <c r="A974" s="34">
        <f t="shared" si="247"/>
        <v>966</v>
      </c>
      <c r="B974" s="35">
        <f t="shared" si="247"/>
        <v>78</v>
      </c>
      <c r="C974" s="40" t="s">
        <v>268</v>
      </c>
      <c r="D974" s="35">
        <v>3</v>
      </c>
      <c r="E974" s="35"/>
      <c r="F974" s="36">
        <v>0.22919999999999999</v>
      </c>
      <c r="G974" s="36">
        <f>F974*0.197</f>
        <v>4.5152400000000002E-2</v>
      </c>
      <c r="H974" s="36">
        <v>0.10199999999999999</v>
      </c>
      <c r="I974" s="37">
        <f>H974*0.15</f>
        <v>1.5299999999999998E-2</v>
      </c>
      <c r="J974" s="32">
        <f t="shared" si="240"/>
        <v>0.22694999999999999</v>
      </c>
      <c r="K974" s="33">
        <f t="shared" si="243"/>
        <v>3.4042499999999996E-2</v>
      </c>
      <c r="L974" s="33"/>
      <c r="O974" s="2">
        <f t="shared" si="244"/>
        <v>4.2499999999999996E-2</v>
      </c>
      <c r="P974" s="2">
        <f t="shared" si="245"/>
        <v>30.6</v>
      </c>
      <c r="Q974" s="7">
        <f t="shared" si="246"/>
        <v>138.58695652173913</v>
      </c>
      <c r="R974" s="2">
        <v>1.2</v>
      </c>
      <c r="S974" s="2">
        <f t="shared" si="241"/>
        <v>4.45</v>
      </c>
      <c r="T974" s="2"/>
      <c r="U974" s="2"/>
      <c r="Y974" s="8">
        <f t="shared" si="242"/>
        <v>4.9336956521739133</v>
      </c>
    </row>
    <row r="975" spans="1:25" ht="30" x14ac:dyDescent="0.25">
      <c r="A975" s="34">
        <f t="shared" si="247"/>
        <v>967</v>
      </c>
      <c r="B975" s="35">
        <f t="shared" si="247"/>
        <v>79</v>
      </c>
      <c r="C975" s="40" t="s">
        <v>268</v>
      </c>
      <c r="D975" s="35">
        <v>4</v>
      </c>
      <c r="E975" s="35"/>
      <c r="F975" s="36">
        <v>0.23449999999999999</v>
      </c>
      <c r="G975" s="36">
        <f>F975*0.197</f>
        <v>4.6196500000000001E-2</v>
      </c>
      <c r="H975" s="36">
        <v>7.6499999999999999E-2</v>
      </c>
      <c r="I975" s="37">
        <f>H975*0.15</f>
        <v>1.1474999999999999E-2</v>
      </c>
      <c r="J975" s="32">
        <f t="shared" si="240"/>
        <v>0.17021250000000002</v>
      </c>
      <c r="K975" s="33">
        <f t="shared" si="243"/>
        <v>2.5531875000000002E-2</v>
      </c>
      <c r="L975" s="33"/>
      <c r="O975" s="2">
        <f t="shared" si="244"/>
        <v>3.1875000000000001E-2</v>
      </c>
      <c r="P975" s="2">
        <f t="shared" si="245"/>
        <v>22.95</v>
      </c>
      <c r="Q975" s="7">
        <f t="shared" si="246"/>
        <v>103.94021739130434</v>
      </c>
      <c r="R975" s="2">
        <v>1.2</v>
      </c>
      <c r="S975" s="2">
        <f t="shared" si="241"/>
        <v>4.45</v>
      </c>
      <c r="T975" s="2"/>
      <c r="U975" s="2"/>
      <c r="Y975" s="8">
        <f t="shared" si="242"/>
        <v>3.7002717391304349</v>
      </c>
    </row>
    <row r="976" spans="1:25" ht="30" x14ac:dyDescent="0.25">
      <c r="A976" s="34">
        <f t="shared" si="247"/>
        <v>968</v>
      </c>
      <c r="B976" s="35">
        <f t="shared" si="247"/>
        <v>80</v>
      </c>
      <c r="C976" s="40" t="s">
        <v>268</v>
      </c>
      <c r="D976" s="35">
        <v>5</v>
      </c>
      <c r="E976" s="35"/>
      <c r="F976" s="36">
        <v>0.19850000000000001</v>
      </c>
      <c r="G976" s="36">
        <f>F976*0.197</f>
        <v>3.91045E-2</v>
      </c>
      <c r="H976" s="36">
        <v>8.9399999999999993E-2</v>
      </c>
      <c r="I976" s="37">
        <f>H976*0.15</f>
        <v>1.3409999999999998E-2</v>
      </c>
      <c r="J976" s="32">
        <f t="shared" si="240"/>
        <v>0.19891499999999998</v>
      </c>
      <c r="K976" s="33">
        <f t="shared" si="243"/>
        <v>2.9837249999999996E-2</v>
      </c>
      <c r="L976" s="33"/>
      <c r="O976" s="2">
        <f t="shared" si="244"/>
        <v>3.7249999999999998E-2</v>
      </c>
      <c r="P976" s="2">
        <f t="shared" si="245"/>
        <v>26.819999999999997</v>
      </c>
      <c r="Q976" s="7">
        <f t="shared" si="246"/>
        <v>121.46739130434781</v>
      </c>
      <c r="R976" s="2">
        <v>1.2</v>
      </c>
      <c r="S976" s="2">
        <f t="shared" si="241"/>
        <v>4.45</v>
      </c>
      <c r="T976" s="2"/>
      <c r="U976" s="2"/>
      <c r="Y976" s="8">
        <f t="shared" si="242"/>
        <v>4.3242391304347825</v>
      </c>
    </row>
    <row r="977" spans="1:25" ht="30" x14ac:dyDescent="0.25">
      <c r="A977" s="34">
        <f t="shared" si="247"/>
        <v>969</v>
      </c>
      <c r="B977" s="35">
        <f t="shared" si="247"/>
        <v>81</v>
      </c>
      <c r="C977" s="40" t="s">
        <v>268</v>
      </c>
      <c r="D977" s="35">
        <v>7</v>
      </c>
      <c r="E977" s="35"/>
      <c r="F977" s="36">
        <v>0.23219999999999999</v>
      </c>
      <c r="G977" s="36">
        <f>F977*0.197</f>
        <v>4.5743399999999997E-2</v>
      </c>
      <c r="H977" s="36">
        <v>8.2400000000000001E-2</v>
      </c>
      <c r="I977" s="37">
        <f>H977*0.15</f>
        <v>1.2359999999999999E-2</v>
      </c>
      <c r="J977" s="32">
        <f t="shared" si="240"/>
        <v>0.18334</v>
      </c>
      <c r="K977" s="33">
        <f t="shared" si="243"/>
        <v>2.7501000000000001E-2</v>
      </c>
      <c r="L977" s="33"/>
      <c r="O977" s="2">
        <f t="shared" si="244"/>
        <v>3.4333333333333334E-2</v>
      </c>
      <c r="P977" s="2">
        <f t="shared" si="245"/>
        <v>24.720000000000002</v>
      </c>
      <c r="Q977" s="7">
        <f t="shared" si="246"/>
        <v>111.95652173913045</v>
      </c>
      <c r="R977" s="2">
        <v>1.2</v>
      </c>
      <c r="S977" s="2">
        <f t="shared" si="241"/>
        <v>4.45</v>
      </c>
      <c r="T977" s="2"/>
      <c r="U977" s="2"/>
      <c r="Y977" s="8">
        <f t="shared" si="242"/>
        <v>3.9856521739130439</v>
      </c>
    </row>
    <row r="978" spans="1:25" ht="30" x14ac:dyDescent="0.25">
      <c r="A978" s="34">
        <f t="shared" si="247"/>
        <v>970</v>
      </c>
      <c r="B978" s="35"/>
      <c r="C978" s="40" t="s">
        <v>269</v>
      </c>
      <c r="D978" s="35">
        <v>2</v>
      </c>
      <c r="E978" s="35"/>
      <c r="F978" s="36">
        <v>8.4788779999999994E-2</v>
      </c>
      <c r="G978" s="36"/>
      <c r="H978" s="36">
        <v>0.1082</v>
      </c>
      <c r="I978" s="37">
        <v>1.6230000000000001E-2</v>
      </c>
      <c r="J978" s="32">
        <f t="shared" si="240"/>
        <v>0.24074500000000001</v>
      </c>
      <c r="K978" s="33">
        <f t="shared" si="243"/>
        <v>3.6111749999999998E-2</v>
      </c>
      <c r="L978" s="33"/>
      <c r="O978" s="2">
        <f t="shared" si="244"/>
        <v>4.5083333333333336E-2</v>
      </c>
      <c r="P978" s="2">
        <f t="shared" si="245"/>
        <v>32.46</v>
      </c>
      <c r="Q978" s="7">
        <f t="shared" si="246"/>
        <v>147.0108695652174</v>
      </c>
      <c r="R978" s="2">
        <v>1.2</v>
      </c>
      <c r="S978" s="2">
        <f t="shared" si="241"/>
        <v>4.45</v>
      </c>
      <c r="T978" s="2"/>
      <c r="U978" s="2"/>
      <c r="Y978" s="8">
        <f t="shared" si="242"/>
        <v>5.2335869565217399</v>
      </c>
    </row>
    <row r="979" spans="1:25" x14ac:dyDescent="0.25">
      <c r="A979" s="34">
        <f t="shared" si="247"/>
        <v>971</v>
      </c>
      <c r="B979" s="35">
        <f>B977+1</f>
        <v>82</v>
      </c>
      <c r="C979" s="42" t="s">
        <v>270</v>
      </c>
      <c r="D979" s="43">
        <v>97</v>
      </c>
      <c r="E979" s="43"/>
      <c r="F979" s="36">
        <v>0.30099999999999999</v>
      </c>
      <c r="G979" s="36">
        <v>5.9297000000000002E-2</v>
      </c>
      <c r="H979" s="36">
        <v>8.7599999999999997E-2</v>
      </c>
      <c r="I979" s="37">
        <v>1.3140000000000001E-2</v>
      </c>
      <c r="J979" s="32">
        <f t="shared" si="240"/>
        <v>0.19491</v>
      </c>
      <c r="K979" s="33">
        <f t="shared" si="243"/>
        <v>2.9236499999999999E-2</v>
      </c>
      <c r="L979" s="33"/>
      <c r="O979" s="2">
        <f t="shared" si="244"/>
        <v>3.6499999999999998E-2</v>
      </c>
      <c r="P979" s="2">
        <f t="shared" si="245"/>
        <v>26.279999999999998</v>
      </c>
      <c r="Q979" s="7">
        <f t="shared" si="246"/>
        <v>119.02173913043477</v>
      </c>
      <c r="R979" s="2">
        <v>1.2</v>
      </c>
      <c r="S979" s="2">
        <f t="shared" si="241"/>
        <v>4.45</v>
      </c>
      <c r="T979" s="2"/>
      <c r="U979" s="2"/>
      <c r="Y979" s="8">
        <f t="shared" si="242"/>
        <v>4.2371739130434776</v>
      </c>
    </row>
    <row r="980" spans="1:25" x14ac:dyDescent="0.25">
      <c r="A980" s="34">
        <f t="shared" si="247"/>
        <v>972</v>
      </c>
      <c r="B980" s="35">
        <f t="shared" si="247"/>
        <v>83</v>
      </c>
      <c r="C980" s="42" t="s">
        <v>270</v>
      </c>
      <c r="D980" s="43">
        <v>99</v>
      </c>
      <c r="E980" s="43"/>
      <c r="F980" s="36">
        <v>0.2006</v>
      </c>
      <c r="G980" s="36">
        <v>3.9518200000000003E-2</v>
      </c>
      <c r="H980" s="36">
        <v>5.67E-2</v>
      </c>
      <c r="I980" s="37">
        <v>8.5050000000000004E-3</v>
      </c>
      <c r="J980" s="32">
        <f t="shared" si="240"/>
        <v>0.12615750000000001</v>
      </c>
      <c r="K980" s="33">
        <f t="shared" si="243"/>
        <v>1.8923624999999999E-2</v>
      </c>
      <c r="L980" s="33"/>
      <c r="O980" s="2">
        <f t="shared" si="244"/>
        <v>2.3625E-2</v>
      </c>
      <c r="P980" s="2">
        <f t="shared" si="245"/>
        <v>17.009999999999998</v>
      </c>
      <c r="Q980" s="7">
        <f t="shared" si="246"/>
        <v>77.03804347826086</v>
      </c>
      <c r="R980" s="2">
        <v>1.2</v>
      </c>
      <c r="S980" s="2">
        <f t="shared" si="241"/>
        <v>4.45</v>
      </c>
      <c r="T980" s="2"/>
      <c r="U980" s="2"/>
      <c r="Y980" s="8">
        <f t="shared" si="242"/>
        <v>2.7425543478260872</v>
      </c>
    </row>
    <row r="981" spans="1:25" x14ac:dyDescent="0.25">
      <c r="A981" s="34">
        <f t="shared" si="247"/>
        <v>973</v>
      </c>
      <c r="B981" s="35">
        <f t="shared" si="247"/>
        <v>84</v>
      </c>
      <c r="C981" s="42" t="s">
        <v>270</v>
      </c>
      <c r="D981" s="43">
        <v>101</v>
      </c>
      <c r="E981" s="43">
        <v>1</v>
      </c>
      <c r="F981" s="36">
        <v>3.2000000000000001E-2</v>
      </c>
      <c r="G981" s="36">
        <v>6.3039999999999997E-3</v>
      </c>
      <c r="H981" s="36">
        <v>8.3000000000000004E-2</v>
      </c>
      <c r="I981" s="37">
        <v>1.2449999999999999E-2</v>
      </c>
      <c r="J981" s="32">
        <f t="shared" si="240"/>
        <v>0.18467500000000001</v>
      </c>
      <c r="K981" s="33">
        <f t="shared" si="243"/>
        <v>2.770125E-2</v>
      </c>
      <c r="L981" s="33"/>
      <c r="O981" s="2">
        <f t="shared" si="244"/>
        <v>3.4583333333333334E-2</v>
      </c>
      <c r="P981" s="2">
        <f t="shared" si="245"/>
        <v>24.900000000000002</v>
      </c>
      <c r="Q981" s="7">
        <f t="shared" si="246"/>
        <v>112.7717391304348</v>
      </c>
      <c r="R981" s="2">
        <v>1.2</v>
      </c>
      <c r="S981" s="2">
        <f t="shared" si="241"/>
        <v>4.45</v>
      </c>
      <c r="T981" s="2"/>
      <c r="U981" s="2"/>
      <c r="Y981" s="8">
        <f t="shared" si="242"/>
        <v>4.0146739130434783</v>
      </c>
    </row>
    <row r="982" spans="1:25" x14ac:dyDescent="0.25">
      <c r="A982" s="34">
        <f t="shared" si="247"/>
        <v>974</v>
      </c>
      <c r="B982" s="35">
        <f t="shared" si="247"/>
        <v>85</v>
      </c>
      <c r="C982" s="42" t="s">
        <v>270</v>
      </c>
      <c r="D982" s="43">
        <v>101</v>
      </c>
      <c r="E982" s="43">
        <v>2</v>
      </c>
      <c r="F982" s="36">
        <v>3.2000000000000001E-2</v>
      </c>
      <c r="G982" s="36">
        <v>6.3039999999999997E-3</v>
      </c>
      <c r="H982" s="36">
        <v>8.3000000000000004E-2</v>
      </c>
      <c r="I982" s="37">
        <v>1.2449999999999999E-2</v>
      </c>
      <c r="J982" s="32">
        <f t="shared" si="240"/>
        <v>0.18467500000000001</v>
      </c>
      <c r="K982" s="33">
        <f t="shared" si="243"/>
        <v>2.770125E-2</v>
      </c>
      <c r="L982" s="33"/>
      <c r="O982" s="2">
        <f t="shared" si="244"/>
        <v>3.4583333333333334E-2</v>
      </c>
      <c r="P982" s="2">
        <f t="shared" si="245"/>
        <v>24.900000000000002</v>
      </c>
      <c r="Q982" s="7">
        <f t="shared" si="246"/>
        <v>112.7717391304348</v>
      </c>
      <c r="R982" s="2">
        <v>1.2</v>
      </c>
      <c r="S982" s="2">
        <f t="shared" si="241"/>
        <v>4.45</v>
      </c>
      <c r="T982" s="2"/>
      <c r="U982" s="2"/>
      <c r="Y982" s="8">
        <f t="shared" si="242"/>
        <v>4.0146739130434783</v>
      </c>
    </row>
    <row r="983" spans="1:25" x14ac:dyDescent="0.25">
      <c r="A983" s="34">
        <f t="shared" si="247"/>
        <v>975</v>
      </c>
      <c r="B983" s="35">
        <f t="shared" si="247"/>
        <v>86</v>
      </c>
      <c r="C983" s="42" t="s">
        <v>270</v>
      </c>
      <c r="D983" s="43" t="s">
        <v>271</v>
      </c>
      <c r="E983" s="43"/>
      <c r="F983" s="36">
        <v>0.1641</v>
      </c>
      <c r="G983" s="36">
        <v>3.2327700000000001E-2</v>
      </c>
      <c r="H983" s="36">
        <v>4.2000000000000003E-2</v>
      </c>
      <c r="I983" s="37">
        <v>6.3E-3</v>
      </c>
      <c r="J983" s="32">
        <f t="shared" si="240"/>
        <v>9.3450000000000005E-2</v>
      </c>
      <c r="K983" s="33">
        <f t="shared" si="243"/>
        <v>1.40175E-2</v>
      </c>
      <c r="L983" s="33"/>
      <c r="O983" s="2">
        <f t="shared" si="244"/>
        <v>1.7500000000000002E-2</v>
      </c>
      <c r="P983" s="2">
        <f t="shared" si="245"/>
        <v>12.600000000000001</v>
      </c>
      <c r="Q983" s="7">
        <f t="shared" si="246"/>
        <v>57.065217391304358</v>
      </c>
      <c r="R983" s="2">
        <v>1.2</v>
      </c>
      <c r="S983" s="2">
        <f t="shared" si="241"/>
        <v>4.45</v>
      </c>
      <c r="T983" s="2"/>
      <c r="U983" s="2"/>
      <c r="Y983" s="8">
        <f t="shared" si="242"/>
        <v>2.0315217391304348</v>
      </c>
    </row>
    <row r="984" spans="1:25" x14ac:dyDescent="0.25">
      <c r="A984" s="34">
        <f t="shared" si="247"/>
        <v>976</v>
      </c>
      <c r="B984" s="35">
        <f t="shared" si="247"/>
        <v>87</v>
      </c>
      <c r="C984" s="42" t="s">
        <v>270</v>
      </c>
      <c r="D984" s="43" t="s">
        <v>272</v>
      </c>
      <c r="E984" s="43"/>
      <c r="F984" s="36">
        <v>0.1641</v>
      </c>
      <c r="G984" s="36">
        <v>3.2327700000000001E-2</v>
      </c>
      <c r="H984" s="36">
        <v>4.0500000000000001E-2</v>
      </c>
      <c r="I984" s="37">
        <v>6.0749999999999997E-3</v>
      </c>
      <c r="J984" s="32">
        <f t="shared" si="240"/>
        <v>9.0112500000000012E-2</v>
      </c>
      <c r="K984" s="33">
        <f t="shared" si="243"/>
        <v>1.3516875000000001E-2</v>
      </c>
      <c r="L984" s="33"/>
      <c r="O984" s="2">
        <f t="shared" si="244"/>
        <v>1.6875000000000001E-2</v>
      </c>
      <c r="P984" s="2">
        <f t="shared" si="245"/>
        <v>12.15</v>
      </c>
      <c r="Q984" s="7">
        <f t="shared" si="246"/>
        <v>55.027173913043484</v>
      </c>
      <c r="R984" s="2">
        <v>1.2</v>
      </c>
      <c r="S984" s="2">
        <f t="shared" si="241"/>
        <v>4.45</v>
      </c>
      <c r="T984" s="2"/>
      <c r="U984" s="2"/>
      <c r="Y984" s="8">
        <f t="shared" si="242"/>
        <v>1.9589673913043482</v>
      </c>
    </row>
    <row r="985" spans="1:25" x14ac:dyDescent="0.25">
      <c r="A985" s="34">
        <f t="shared" si="247"/>
        <v>977</v>
      </c>
      <c r="B985" s="35">
        <f t="shared" si="247"/>
        <v>88</v>
      </c>
      <c r="C985" s="42" t="s">
        <v>270</v>
      </c>
      <c r="D985" s="43" t="s">
        <v>273</v>
      </c>
      <c r="E985" s="43"/>
      <c r="F985" s="36">
        <v>0.1641</v>
      </c>
      <c r="G985" s="36">
        <v>3.2327700000000001E-2</v>
      </c>
      <c r="H985" s="36">
        <v>3.3099999999999997E-2</v>
      </c>
      <c r="I985" s="37">
        <v>4.9649999999999998E-3</v>
      </c>
      <c r="J985" s="32">
        <f t="shared" si="240"/>
        <v>7.3647499999999991E-2</v>
      </c>
      <c r="K985" s="33">
        <f t="shared" si="243"/>
        <v>1.1047124999999998E-2</v>
      </c>
      <c r="L985" s="33"/>
      <c r="O985" s="2">
        <f t="shared" si="244"/>
        <v>1.3791666666666666E-2</v>
      </c>
      <c r="P985" s="2">
        <f t="shared" si="245"/>
        <v>9.93</v>
      </c>
      <c r="Q985" s="7">
        <f t="shared" si="246"/>
        <v>44.972826086956523</v>
      </c>
      <c r="R985" s="2">
        <v>1.2</v>
      </c>
      <c r="S985" s="2">
        <f t="shared" si="241"/>
        <v>4.45</v>
      </c>
      <c r="T985" s="2"/>
      <c r="U985" s="2"/>
      <c r="Y985" s="8">
        <f t="shared" si="242"/>
        <v>1.6010326086956519</v>
      </c>
    </row>
    <row r="986" spans="1:25" x14ac:dyDescent="0.25">
      <c r="A986" s="34">
        <f t="shared" si="247"/>
        <v>978</v>
      </c>
      <c r="B986" s="35">
        <f t="shared" si="247"/>
        <v>89</v>
      </c>
      <c r="C986" s="42" t="s">
        <v>270</v>
      </c>
      <c r="D986" s="43">
        <v>119</v>
      </c>
      <c r="E986" s="43"/>
      <c r="F986" s="36">
        <v>0.10059999999999999</v>
      </c>
      <c r="G986" s="36">
        <v>1.9818200000000001E-2</v>
      </c>
      <c r="H986" s="36">
        <v>3.27E-2</v>
      </c>
      <c r="I986" s="37">
        <v>4.9049999999999996E-3</v>
      </c>
      <c r="J986" s="32">
        <f t="shared" si="240"/>
        <v>7.2757500000000003E-2</v>
      </c>
      <c r="K986" s="33">
        <f t="shared" si="243"/>
        <v>1.0913625E-2</v>
      </c>
      <c r="L986" s="33"/>
      <c r="O986" s="2">
        <f t="shared" si="244"/>
        <v>1.3625E-2</v>
      </c>
      <c r="P986" s="2">
        <f t="shared" si="245"/>
        <v>9.81</v>
      </c>
      <c r="Q986" s="7">
        <f t="shared" si="246"/>
        <v>44.429347826086961</v>
      </c>
      <c r="R986" s="2">
        <v>1.2</v>
      </c>
      <c r="S986" s="2">
        <f t="shared" si="241"/>
        <v>4.45</v>
      </c>
      <c r="T986" s="2"/>
      <c r="U986" s="2"/>
      <c r="Y986" s="8">
        <f t="shared" si="242"/>
        <v>1.5816847826086957</v>
      </c>
    </row>
    <row r="987" spans="1:25" x14ac:dyDescent="0.25">
      <c r="A987" s="34">
        <f t="shared" si="247"/>
        <v>979</v>
      </c>
      <c r="B987" s="35">
        <f t="shared" si="247"/>
        <v>90</v>
      </c>
      <c r="C987" s="42" t="s">
        <v>270</v>
      </c>
      <c r="D987" s="43">
        <v>125</v>
      </c>
      <c r="E987" s="43"/>
      <c r="F987" s="36">
        <v>0.15840000000000001</v>
      </c>
      <c r="G987" s="36">
        <v>3.1204800000000001E-2</v>
      </c>
      <c r="H987" s="36">
        <v>3.9699999999999999E-2</v>
      </c>
      <c r="I987" s="37">
        <v>5.9550000000000002E-3</v>
      </c>
      <c r="J987" s="32">
        <f t="shared" si="240"/>
        <v>8.8332500000000008E-2</v>
      </c>
      <c r="K987" s="33">
        <f t="shared" si="243"/>
        <v>1.3249875000000001E-2</v>
      </c>
      <c r="L987" s="33"/>
      <c r="O987" s="2">
        <f t="shared" si="244"/>
        <v>1.6541666666666666E-2</v>
      </c>
      <c r="P987" s="2">
        <f t="shared" si="245"/>
        <v>11.91</v>
      </c>
      <c r="Q987" s="7">
        <f t="shared" si="246"/>
        <v>53.940217391304351</v>
      </c>
      <c r="R987" s="2">
        <v>1.2</v>
      </c>
      <c r="S987" s="2">
        <f t="shared" si="241"/>
        <v>4.45</v>
      </c>
      <c r="T987" s="2"/>
      <c r="U987" s="2"/>
      <c r="Y987" s="8">
        <f t="shared" si="242"/>
        <v>1.9202717391304349</v>
      </c>
    </row>
    <row r="988" spans="1:25" x14ac:dyDescent="0.25">
      <c r="A988" s="34">
        <f t="shared" ref="A988:B1003" si="248">A987+1</f>
        <v>980</v>
      </c>
      <c r="B988" s="35">
        <f t="shared" si="248"/>
        <v>91</v>
      </c>
      <c r="C988" s="42" t="s">
        <v>270</v>
      </c>
      <c r="D988" s="43">
        <v>129</v>
      </c>
      <c r="E988" s="43"/>
      <c r="F988" s="36">
        <v>0.1638</v>
      </c>
      <c r="G988" s="36">
        <v>3.2268600000000001E-2</v>
      </c>
      <c r="H988" s="36">
        <v>6.9000000000000006E-2</v>
      </c>
      <c r="I988" s="37">
        <v>1.035E-2</v>
      </c>
      <c r="J988" s="32">
        <f t="shared" si="240"/>
        <v>0.15352500000000002</v>
      </c>
      <c r="K988" s="33">
        <f t="shared" si="243"/>
        <v>2.3028750000000004E-2</v>
      </c>
      <c r="L988" s="24" t="s">
        <v>16</v>
      </c>
      <c r="O988" s="2">
        <f t="shared" si="244"/>
        <v>2.8750000000000005E-2</v>
      </c>
      <c r="P988" s="2">
        <f t="shared" si="245"/>
        <v>20.700000000000006</v>
      </c>
      <c r="Q988" s="7">
        <f t="shared" si="246"/>
        <v>93.750000000000028</v>
      </c>
      <c r="R988" s="2">
        <v>1.2</v>
      </c>
      <c r="S988" s="2">
        <f t="shared" si="241"/>
        <v>4.45</v>
      </c>
      <c r="T988" s="2"/>
      <c r="U988" s="2"/>
      <c r="Y988" s="8">
        <f t="shared" si="242"/>
        <v>3.3375000000000008</v>
      </c>
    </row>
    <row r="989" spans="1:25" x14ac:dyDescent="0.25">
      <c r="A989" s="34">
        <f t="shared" si="248"/>
        <v>981</v>
      </c>
      <c r="B989" s="35">
        <f t="shared" si="248"/>
        <v>92</v>
      </c>
      <c r="C989" s="42" t="s">
        <v>270</v>
      </c>
      <c r="D989" s="43">
        <v>135</v>
      </c>
      <c r="E989" s="43"/>
      <c r="F989" s="36">
        <v>0.1346</v>
      </c>
      <c r="G989" s="36">
        <v>2.65162E-2</v>
      </c>
      <c r="H989" s="36">
        <v>4.6899999999999997E-2</v>
      </c>
      <c r="I989" s="37">
        <v>7.0349999999999996E-3</v>
      </c>
      <c r="J989" s="32">
        <f t="shared" si="240"/>
        <v>0.1043525</v>
      </c>
      <c r="K989" s="33">
        <f t="shared" si="243"/>
        <v>1.5652875E-2</v>
      </c>
      <c r="L989" s="33"/>
      <c r="O989" s="2">
        <f t="shared" si="244"/>
        <v>1.9541666666666666E-2</v>
      </c>
      <c r="P989" s="2">
        <f t="shared" si="245"/>
        <v>14.069999999999999</v>
      </c>
      <c r="Q989" s="7">
        <f t="shared" si="246"/>
        <v>63.722826086956516</v>
      </c>
      <c r="R989" s="2">
        <v>1.2</v>
      </c>
      <c r="S989" s="2">
        <f t="shared" si="241"/>
        <v>4.45</v>
      </c>
      <c r="T989" s="2"/>
      <c r="U989" s="2"/>
      <c r="Y989" s="8">
        <f t="shared" si="242"/>
        <v>2.2685326086956521</v>
      </c>
    </row>
    <row r="990" spans="1:25" x14ac:dyDescent="0.25">
      <c r="A990" s="34">
        <f t="shared" si="248"/>
        <v>982</v>
      </c>
      <c r="B990" s="35">
        <f t="shared" si="248"/>
        <v>93</v>
      </c>
      <c r="C990" s="42" t="s">
        <v>270</v>
      </c>
      <c r="D990" s="43">
        <v>137</v>
      </c>
      <c r="E990" s="43"/>
      <c r="F990" s="36">
        <v>0.3911</v>
      </c>
      <c r="G990" s="36">
        <v>7.7046699999999996E-2</v>
      </c>
      <c r="H990" s="36">
        <v>0.1384</v>
      </c>
      <c r="I990" s="37">
        <v>2.0760000000000001E-2</v>
      </c>
      <c r="J990" s="32">
        <f t="shared" si="240"/>
        <v>0.25603999999999999</v>
      </c>
      <c r="K990" s="33">
        <f t="shared" si="243"/>
        <v>3.8405999999999996E-2</v>
      </c>
      <c r="L990" s="33"/>
      <c r="O990" s="2">
        <f t="shared" si="244"/>
        <v>5.7666666666666665E-2</v>
      </c>
      <c r="P990" s="2">
        <f t="shared" si="245"/>
        <v>41.519999999999996</v>
      </c>
      <c r="Q990" s="7">
        <f t="shared" si="246"/>
        <v>188.04347826086956</v>
      </c>
      <c r="R990" s="2">
        <v>1.2</v>
      </c>
      <c r="S990" s="2">
        <f t="shared" si="241"/>
        <v>3.7</v>
      </c>
      <c r="T990" s="2"/>
      <c r="U990" s="2"/>
      <c r="Y990" s="8">
        <f t="shared" si="242"/>
        <v>5.5660869565217395</v>
      </c>
    </row>
    <row r="991" spans="1:25" x14ac:dyDescent="0.25">
      <c r="A991" s="34">
        <f t="shared" si="248"/>
        <v>983</v>
      </c>
      <c r="B991" s="35">
        <f t="shared" si="248"/>
        <v>94</v>
      </c>
      <c r="C991" s="42" t="s">
        <v>270</v>
      </c>
      <c r="D991" s="43">
        <v>199</v>
      </c>
      <c r="E991" s="43"/>
      <c r="F991" s="36">
        <v>1.0789999999999999E-2</v>
      </c>
      <c r="G991" s="36">
        <v>2.1256299999999999E-3</v>
      </c>
      <c r="H991" s="36">
        <v>2.87E-2</v>
      </c>
      <c r="I991" s="37">
        <v>4.3049999999999998E-3</v>
      </c>
      <c r="J991" s="32">
        <f t="shared" si="240"/>
        <v>6.3857499999999998E-2</v>
      </c>
      <c r="K991" s="33">
        <f t="shared" si="243"/>
        <v>9.5786249999999986E-3</v>
      </c>
      <c r="L991" s="33"/>
      <c r="O991" s="2">
        <f t="shared" si="244"/>
        <v>1.1958333333333333E-2</v>
      </c>
      <c r="P991" s="2">
        <f t="shared" si="245"/>
        <v>8.61</v>
      </c>
      <c r="Q991" s="7">
        <f t="shared" si="246"/>
        <v>38.994565217391305</v>
      </c>
      <c r="R991" s="2">
        <v>1.2</v>
      </c>
      <c r="S991" s="2">
        <f t="shared" si="241"/>
        <v>4.45</v>
      </c>
      <c r="T991" s="2"/>
      <c r="U991" s="2"/>
      <c r="Y991" s="8">
        <f t="shared" si="242"/>
        <v>1.3882065217391304</v>
      </c>
    </row>
    <row r="992" spans="1:25" x14ac:dyDescent="0.25">
      <c r="A992" s="34">
        <f t="shared" si="248"/>
        <v>984</v>
      </c>
      <c r="B992" s="35">
        <f t="shared" si="248"/>
        <v>95</v>
      </c>
      <c r="C992" s="40" t="s">
        <v>274</v>
      </c>
      <c r="D992" s="35">
        <v>1</v>
      </c>
      <c r="E992" s="35">
        <v>1</v>
      </c>
      <c r="F992" s="36">
        <v>0.15809999999999999</v>
      </c>
      <c r="G992" s="36">
        <f t="shared" ref="G992:G1002" si="249">F992*0.197</f>
        <v>3.1145699999999998E-2</v>
      </c>
      <c r="H992" s="36">
        <v>7.6200000000000004E-2</v>
      </c>
      <c r="I992" s="37">
        <f t="shared" ref="I992:I1002" si="250">H992*0.15</f>
        <v>1.1430000000000001E-2</v>
      </c>
      <c r="J992" s="32">
        <f t="shared" si="240"/>
        <v>0.16954500000000003</v>
      </c>
      <c r="K992" s="33">
        <f t="shared" si="243"/>
        <v>2.5431750000000003E-2</v>
      </c>
      <c r="L992" s="33"/>
      <c r="O992" s="2">
        <f t="shared" si="244"/>
        <v>3.175E-2</v>
      </c>
      <c r="P992" s="2">
        <f t="shared" si="245"/>
        <v>22.86</v>
      </c>
      <c r="Q992" s="7">
        <f t="shared" si="246"/>
        <v>103.53260869565217</v>
      </c>
      <c r="R992" s="2">
        <v>1.2</v>
      </c>
      <c r="S992" s="2">
        <f t="shared" si="241"/>
        <v>4.45</v>
      </c>
      <c r="T992" s="2"/>
      <c r="U992" s="2"/>
      <c r="Y992" s="8">
        <f t="shared" si="242"/>
        <v>3.6857608695652182</v>
      </c>
    </row>
    <row r="993" spans="1:25" x14ac:dyDescent="0.25">
      <c r="A993" s="34">
        <f t="shared" si="248"/>
        <v>985</v>
      </c>
      <c r="B993" s="35">
        <f t="shared" si="248"/>
        <v>96</v>
      </c>
      <c r="C993" s="40" t="s">
        <v>274</v>
      </c>
      <c r="D993" s="35">
        <v>1</v>
      </c>
      <c r="E993" s="35">
        <v>2</v>
      </c>
      <c r="F993" s="36">
        <v>0.15809999999999999</v>
      </c>
      <c r="G993" s="36">
        <f t="shared" si="249"/>
        <v>3.1145699999999998E-2</v>
      </c>
      <c r="H993" s="36">
        <v>7.6200000000000004E-2</v>
      </c>
      <c r="I993" s="37">
        <f t="shared" si="250"/>
        <v>1.1430000000000001E-2</v>
      </c>
      <c r="J993" s="32">
        <f t="shared" si="240"/>
        <v>0.16954500000000003</v>
      </c>
      <c r="K993" s="33">
        <f t="shared" si="243"/>
        <v>2.5431750000000003E-2</v>
      </c>
      <c r="L993" s="33"/>
      <c r="O993" s="2">
        <f t="shared" si="244"/>
        <v>3.175E-2</v>
      </c>
      <c r="P993" s="2">
        <f t="shared" si="245"/>
        <v>22.86</v>
      </c>
      <c r="Q993" s="7">
        <f t="shared" si="246"/>
        <v>103.53260869565217</v>
      </c>
      <c r="R993" s="2">
        <v>1.2</v>
      </c>
      <c r="S993" s="2">
        <f t="shared" si="241"/>
        <v>4.45</v>
      </c>
      <c r="T993" s="2"/>
      <c r="U993" s="2"/>
      <c r="Y993" s="8">
        <f t="shared" si="242"/>
        <v>3.6857608695652182</v>
      </c>
    </row>
    <row r="994" spans="1:25" x14ac:dyDescent="0.25">
      <c r="A994" s="34">
        <f t="shared" si="248"/>
        <v>986</v>
      </c>
      <c r="B994" s="35">
        <f t="shared" si="248"/>
        <v>97</v>
      </c>
      <c r="C994" s="40" t="s">
        <v>274</v>
      </c>
      <c r="D994" s="35">
        <v>2</v>
      </c>
      <c r="E994" s="35"/>
      <c r="F994" s="36">
        <v>0.21640000000000001</v>
      </c>
      <c r="G994" s="36">
        <f t="shared" si="249"/>
        <v>4.2630800000000003E-2</v>
      </c>
      <c r="H994" s="36">
        <v>9.0499999999999997E-2</v>
      </c>
      <c r="I994" s="37">
        <f t="shared" si="250"/>
        <v>1.3574999999999999E-2</v>
      </c>
      <c r="J994" s="32">
        <f t="shared" si="240"/>
        <v>0.20136250000000003</v>
      </c>
      <c r="K994" s="33">
        <f t="shared" si="243"/>
        <v>3.0204375000000002E-2</v>
      </c>
      <c r="L994" s="33"/>
      <c r="O994" s="2">
        <f t="shared" si="244"/>
        <v>3.7708333333333337E-2</v>
      </c>
      <c r="P994" s="2">
        <f t="shared" si="245"/>
        <v>27.150000000000002</v>
      </c>
      <c r="Q994" s="7">
        <f t="shared" si="246"/>
        <v>122.96195652173914</v>
      </c>
      <c r="R994" s="2">
        <v>1.2</v>
      </c>
      <c r="S994" s="2">
        <f t="shared" si="241"/>
        <v>4.45</v>
      </c>
      <c r="T994" s="2"/>
      <c r="U994" s="2"/>
      <c r="Y994" s="8">
        <f t="shared" si="242"/>
        <v>4.3774456521739138</v>
      </c>
    </row>
    <row r="995" spans="1:25" x14ac:dyDescent="0.25">
      <c r="A995" s="34">
        <f t="shared" si="248"/>
        <v>987</v>
      </c>
      <c r="B995" s="35">
        <f t="shared" si="248"/>
        <v>98</v>
      </c>
      <c r="C995" s="40" t="s">
        <v>274</v>
      </c>
      <c r="D995" s="35">
        <v>3</v>
      </c>
      <c r="E995" s="35">
        <v>1</v>
      </c>
      <c r="F995" s="36">
        <v>0.16320000000000001</v>
      </c>
      <c r="G995" s="36">
        <f t="shared" si="249"/>
        <v>3.2150400000000003E-2</v>
      </c>
      <c r="H995" s="36">
        <v>7.3599999999999999E-2</v>
      </c>
      <c r="I995" s="37">
        <f t="shared" si="250"/>
        <v>1.1039999999999999E-2</v>
      </c>
      <c r="J995" s="32">
        <f t="shared" si="240"/>
        <v>0.16376000000000002</v>
      </c>
      <c r="K995" s="33">
        <f t="shared" si="243"/>
        <v>2.4564000000000002E-2</v>
      </c>
      <c r="L995" s="33"/>
      <c r="O995" s="2">
        <f t="shared" si="244"/>
        <v>3.0666666666666668E-2</v>
      </c>
      <c r="P995" s="2">
        <f t="shared" si="245"/>
        <v>22.08</v>
      </c>
      <c r="Q995" s="7">
        <f t="shared" si="246"/>
        <v>100</v>
      </c>
      <c r="R995" s="2">
        <v>1.2</v>
      </c>
      <c r="S995" s="2">
        <f t="shared" si="241"/>
        <v>4.45</v>
      </c>
      <c r="T995" s="2"/>
      <c r="U995" s="2"/>
      <c r="Y995" s="8">
        <f t="shared" si="242"/>
        <v>3.56</v>
      </c>
    </row>
    <row r="996" spans="1:25" x14ac:dyDescent="0.25">
      <c r="A996" s="34">
        <f t="shared" si="248"/>
        <v>988</v>
      </c>
      <c r="B996" s="35">
        <f t="shared" si="248"/>
        <v>99</v>
      </c>
      <c r="C996" s="40" t="s">
        <v>274</v>
      </c>
      <c r="D996" s="35">
        <v>3</v>
      </c>
      <c r="E996" s="35">
        <v>2</v>
      </c>
      <c r="F996" s="36">
        <v>0.16320000000000001</v>
      </c>
      <c r="G996" s="36">
        <f t="shared" si="249"/>
        <v>3.2150400000000003E-2</v>
      </c>
      <c r="H996" s="36">
        <v>7.3599999999999999E-2</v>
      </c>
      <c r="I996" s="37">
        <f t="shared" si="250"/>
        <v>1.1039999999999999E-2</v>
      </c>
      <c r="J996" s="32">
        <f t="shared" si="240"/>
        <v>0.16376000000000002</v>
      </c>
      <c r="K996" s="33">
        <f t="shared" si="243"/>
        <v>2.4564000000000002E-2</v>
      </c>
      <c r="L996" s="33"/>
      <c r="O996" s="2">
        <f t="shared" si="244"/>
        <v>3.0666666666666668E-2</v>
      </c>
      <c r="P996" s="2">
        <f t="shared" si="245"/>
        <v>22.08</v>
      </c>
      <c r="Q996" s="7">
        <f t="shared" si="246"/>
        <v>100</v>
      </c>
      <c r="R996" s="2">
        <v>1.2</v>
      </c>
      <c r="S996" s="2">
        <f t="shared" si="241"/>
        <v>4.45</v>
      </c>
      <c r="T996" s="2"/>
      <c r="U996" s="2"/>
      <c r="Y996" s="8">
        <f t="shared" si="242"/>
        <v>3.56</v>
      </c>
    </row>
    <row r="997" spans="1:25" x14ac:dyDescent="0.25">
      <c r="A997" s="34">
        <f t="shared" si="248"/>
        <v>989</v>
      </c>
      <c r="B997" s="35">
        <f t="shared" si="248"/>
        <v>100</v>
      </c>
      <c r="C997" s="40" t="s">
        <v>274</v>
      </c>
      <c r="D997" s="35">
        <v>5</v>
      </c>
      <c r="E997" s="35">
        <v>1</v>
      </c>
      <c r="F997" s="36">
        <v>0.14050000000000001</v>
      </c>
      <c r="G997" s="36">
        <f t="shared" si="249"/>
        <v>2.7678500000000005E-2</v>
      </c>
      <c r="H997" s="36">
        <v>7.0999999999999994E-2</v>
      </c>
      <c r="I997" s="37">
        <f t="shared" si="250"/>
        <v>1.0649999999999998E-2</v>
      </c>
      <c r="J997" s="32">
        <f t="shared" si="240"/>
        <v>0.157975</v>
      </c>
      <c r="K997" s="33">
        <f t="shared" si="243"/>
        <v>2.3696249999999999E-2</v>
      </c>
      <c r="L997" s="33"/>
      <c r="O997" s="2">
        <f t="shared" si="244"/>
        <v>2.9583333333333333E-2</v>
      </c>
      <c r="P997" s="2">
        <f t="shared" si="245"/>
        <v>21.299999999999997</v>
      </c>
      <c r="Q997" s="7">
        <f t="shared" si="246"/>
        <v>96.467391304347814</v>
      </c>
      <c r="R997" s="2">
        <v>1.2</v>
      </c>
      <c r="S997" s="2">
        <f t="shared" si="241"/>
        <v>4.45</v>
      </c>
      <c r="T997" s="2"/>
      <c r="U997" s="2"/>
      <c r="Y997" s="8">
        <f t="shared" si="242"/>
        <v>3.4342391304347828</v>
      </c>
    </row>
    <row r="998" spans="1:25" x14ac:dyDescent="0.25">
      <c r="A998" s="34">
        <f t="shared" si="248"/>
        <v>990</v>
      </c>
      <c r="B998" s="35">
        <f t="shared" si="248"/>
        <v>101</v>
      </c>
      <c r="C998" s="40" t="s">
        <v>274</v>
      </c>
      <c r="D998" s="35">
        <v>5</v>
      </c>
      <c r="E998" s="35">
        <v>2</v>
      </c>
      <c r="F998" s="36">
        <v>0.14050000000000001</v>
      </c>
      <c r="G998" s="36">
        <f t="shared" si="249"/>
        <v>2.7678500000000005E-2</v>
      </c>
      <c r="H998" s="36">
        <v>7.0999999999999994E-2</v>
      </c>
      <c r="I998" s="37">
        <f t="shared" si="250"/>
        <v>1.0649999999999998E-2</v>
      </c>
      <c r="J998" s="32">
        <f t="shared" si="240"/>
        <v>0.157975</v>
      </c>
      <c r="K998" s="33">
        <f t="shared" si="243"/>
        <v>2.3696249999999999E-2</v>
      </c>
      <c r="L998" s="33"/>
      <c r="O998" s="2">
        <f t="shared" si="244"/>
        <v>2.9583333333333333E-2</v>
      </c>
      <c r="P998" s="2">
        <f t="shared" si="245"/>
        <v>21.299999999999997</v>
      </c>
      <c r="Q998" s="7">
        <f t="shared" si="246"/>
        <v>96.467391304347814</v>
      </c>
      <c r="R998" s="2">
        <v>1.2</v>
      </c>
      <c r="S998" s="2">
        <f t="shared" si="241"/>
        <v>4.45</v>
      </c>
      <c r="T998" s="2"/>
      <c r="U998" s="2"/>
      <c r="Y998" s="8">
        <f t="shared" si="242"/>
        <v>3.4342391304347828</v>
      </c>
    </row>
    <row r="999" spans="1:25" x14ac:dyDescent="0.25">
      <c r="A999" s="34">
        <f t="shared" si="248"/>
        <v>991</v>
      </c>
      <c r="B999" s="35">
        <f t="shared" si="248"/>
        <v>102</v>
      </c>
      <c r="C999" s="40" t="s">
        <v>274</v>
      </c>
      <c r="D999" s="35">
        <v>7</v>
      </c>
      <c r="E999" s="35">
        <v>1</v>
      </c>
      <c r="F999" s="36">
        <v>0.13930000000000001</v>
      </c>
      <c r="G999" s="36">
        <f t="shared" si="249"/>
        <v>2.7442100000000004E-2</v>
      </c>
      <c r="H999" s="36">
        <v>6.0699999999999997E-2</v>
      </c>
      <c r="I999" s="37">
        <f t="shared" si="250"/>
        <v>9.1049999999999985E-3</v>
      </c>
      <c r="J999" s="32">
        <f t="shared" si="240"/>
        <v>0.1350575</v>
      </c>
      <c r="K999" s="33">
        <f t="shared" si="243"/>
        <v>2.0258624999999999E-2</v>
      </c>
      <c r="L999" s="33"/>
      <c r="O999" s="2">
        <f t="shared" si="244"/>
        <v>2.5291666666666667E-2</v>
      </c>
      <c r="P999" s="2">
        <f t="shared" si="245"/>
        <v>18.21</v>
      </c>
      <c r="Q999" s="7">
        <f t="shared" si="246"/>
        <v>82.47282608695653</v>
      </c>
      <c r="R999" s="2">
        <v>1.2</v>
      </c>
      <c r="S999" s="2">
        <f t="shared" si="241"/>
        <v>4.45</v>
      </c>
      <c r="T999" s="2"/>
      <c r="U999" s="2"/>
      <c r="Y999" s="8">
        <f t="shared" si="242"/>
        <v>2.9360326086956521</v>
      </c>
    </row>
    <row r="1000" spans="1:25" x14ac:dyDescent="0.25">
      <c r="A1000" s="34">
        <f t="shared" si="248"/>
        <v>992</v>
      </c>
      <c r="B1000" s="35">
        <f t="shared" si="248"/>
        <v>103</v>
      </c>
      <c r="C1000" s="40" t="s">
        <v>274</v>
      </c>
      <c r="D1000" s="35">
        <v>7</v>
      </c>
      <c r="E1000" s="35">
        <v>2</v>
      </c>
      <c r="F1000" s="36">
        <v>0.13930000000000001</v>
      </c>
      <c r="G1000" s="36">
        <f t="shared" si="249"/>
        <v>2.7442100000000004E-2</v>
      </c>
      <c r="H1000" s="36">
        <v>6.0699999999999997E-2</v>
      </c>
      <c r="I1000" s="37">
        <f t="shared" si="250"/>
        <v>9.1049999999999985E-3</v>
      </c>
      <c r="J1000" s="32">
        <f t="shared" si="240"/>
        <v>0.1350575</v>
      </c>
      <c r="K1000" s="33">
        <f t="shared" si="243"/>
        <v>2.0258624999999999E-2</v>
      </c>
      <c r="L1000" s="33"/>
      <c r="O1000" s="2">
        <f t="shared" si="244"/>
        <v>2.5291666666666667E-2</v>
      </c>
      <c r="P1000" s="2">
        <f t="shared" si="245"/>
        <v>18.21</v>
      </c>
      <c r="Q1000" s="7">
        <f t="shared" si="246"/>
        <v>82.47282608695653</v>
      </c>
      <c r="R1000" s="2">
        <v>1.2</v>
      </c>
      <c r="S1000" s="2">
        <f t="shared" si="241"/>
        <v>4.45</v>
      </c>
      <c r="T1000" s="2"/>
      <c r="U1000" s="2"/>
      <c r="Y1000" s="8">
        <f t="shared" si="242"/>
        <v>2.9360326086956521</v>
      </c>
    </row>
    <row r="1001" spans="1:25" x14ac:dyDescent="0.25">
      <c r="A1001" s="34">
        <f t="shared" si="248"/>
        <v>993</v>
      </c>
      <c r="B1001" s="35">
        <f t="shared" si="248"/>
        <v>104</v>
      </c>
      <c r="C1001" s="40" t="s">
        <v>274</v>
      </c>
      <c r="D1001" s="35">
        <v>8</v>
      </c>
      <c r="E1001" s="35">
        <v>1</v>
      </c>
      <c r="F1001" s="36">
        <v>0.16289999999999999</v>
      </c>
      <c r="G1001" s="36">
        <f t="shared" si="249"/>
        <v>3.2091299999999996E-2</v>
      </c>
      <c r="H1001" s="36">
        <v>7.0300000000000001E-2</v>
      </c>
      <c r="I1001" s="37">
        <f t="shared" si="250"/>
        <v>1.0545000000000001E-2</v>
      </c>
      <c r="J1001" s="32">
        <f t="shared" si="240"/>
        <v>0.15641750000000001</v>
      </c>
      <c r="K1001" s="33">
        <f t="shared" si="243"/>
        <v>2.3462625000000001E-2</v>
      </c>
      <c r="L1001" s="33"/>
      <c r="O1001" s="2">
        <f t="shared" si="244"/>
        <v>2.9291666666666667E-2</v>
      </c>
      <c r="P1001" s="2">
        <f t="shared" si="245"/>
        <v>21.090000000000003</v>
      </c>
      <c r="Q1001" s="7">
        <f t="shared" si="246"/>
        <v>95.516304347826107</v>
      </c>
      <c r="R1001" s="2">
        <v>1.2</v>
      </c>
      <c r="S1001" s="2">
        <f t="shared" si="241"/>
        <v>4.45</v>
      </c>
      <c r="T1001" s="2"/>
      <c r="U1001" s="2"/>
      <c r="Y1001" s="8">
        <f t="shared" si="242"/>
        <v>3.4003804347826088</v>
      </c>
    </row>
    <row r="1002" spans="1:25" x14ac:dyDescent="0.25">
      <c r="A1002" s="34">
        <f t="shared" si="248"/>
        <v>994</v>
      </c>
      <c r="B1002" s="35">
        <f t="shared" si="248"/>
        <v>105</v>
      </c>
      <c r="C1002" s="40" t="s">
        <v>274</v>
      </c>
      <c r="D1002" s="35">
        <v>8</v>
      </c>
      <c r="E1002" s="35">
        <v>2</v>
      </c>
      <c r="F1002" s="36">
        <v>0.16289999999999999</v>
      </c>
      <c r="G1002" s="36">
        <f t="shared" si="249"/>
        <v>3.2091299999999996E-2</v>
      </c>
      <c r="H1002" s="36">
        <v>7.0300000000000001E-2</v>
      </c>
      <c r="I1002" s="37">
        <f t="shared" si="250"/>
        <v>1.0545000000000001E-2</v>
      </c>
      <c r="J1002" s="32">
        <f t="shared" si="240"/>
        <v>0.15641750000000001</v>
      </c>
      <c r="K1002" s="33">
        <f t="shared" si="243"/>
        <v>2.3462625000000001E-2</v>
      </c>
      <c r="L1002" s="33"/>
      <c r="O1002" s="2">
        <f t="shared" si="244"/>
        <v>2.9291666666666667E-2</v>
      </c>
      <c r="P1002" s="2">
        <f t="shared" si="245"/>
        <v>21.090000000000003</v>
      </c>
      <c r="Q1002" s="7">
        <f t="shared" si="246"/>
        <v>95.516304347826107</v>
      </c>
      <c r="R1002" s="2">
        <v>1.2</v>
      </c>
      <c r="S1002" s="2">
        <f t="shared" si="241"/>
        <v>4.45</v>
      </c>
      <c r="T1002" s="2"/>
      <c r="U1002" s="2"/>
      <c r="Y1002" s="8">
        <f t="shared" si="242"/>
        <v>3.4003804347826088</v>
      </c>
    </row>
    <row r="1003" spans="1:25" x14ac:dyDescent="0.25">
      <c r="A1003" s="34">
        <f t="shared" si="248"/>
        <v>995</v>
      </c>
      <c r="B1003" s="35">
        <f t="shared" si="248"/>
        <v>106</v>
      </c>
      <c r="C1003" s="40" t="s">
        <v>274</v>
      </c>
      <c r="D1003" s="43">
        <v>10</v>
      </c>
      <c r="E1003" s="35">
        <v>1</v>
      </c>
      <c r="F1003" s="36">
        <v>0.13125000000000001</v>
      </c>
      <c r="G1003" s="36">
        <v>2.5856250000000001E-2</v>
      </c>
      <c r="H1003" s="36">
        <v>7.2450000000000001E-2</v>
      </c>
      <c r="I1003" s="37">
        <v>1.08675E-2</v>
      </c>
      <c r="J1003" s="32">
        <f t="shared" si="240"/>
        <v>0.16120125000000002</v>
      </c>
      <c r="K1003" s="33">
        <f t="shared" si="243"/>
        <v>2.4180187500000002E-2</v>
      </c>
      <c r="L1003" s="33"/>
      <c r="O1003" s="2">
        <f t="shared" si="244"/>
        <v>3.0187500000000003E-2</v>
      </c>
      <c r="P1003" s="2">
        <f t="shared" si="245"/>
        <v>21.734999999999999</v>
      </c>
      <c r="Q1003" s="7">
        <f t="shared" si="246"/>
        <v>98.4375</v>
      </c>
      <c r="R1003" s="2">
        <v>1.2</v>
      </c>
      <c r="S1003" s="2">
        <f t="shared" si="241"/>
        <v>4.45</v>
      </c>
      <c r="T1003" s="2"/>
      <c r="U1003" s="2"/>
      <c r="Y1003" s="8">
        <f t="shared" si="242"/>
        <v>3.5043750000000005</v>
      </c>
    </row>
    <row r="1004" spans="1:25" x14ac:dyDescent="0.25">
      <c r="A1004" s="34">
        <f t="shared" ref="A1004:B1019" si="251">A1003+1</f>
        <v>996</v>
      </c>
      <c r="B1004" s="35">
        <f t="shared" si="251"/>
        <v>107</v>
      </c>
      <c r="C1004" s="40" t="s">
        <v>274</v>
      </c>
      <c r="D1004" s="43">
        <v>10</v>
      </c>
      <c r="E1004" s="35">
        <v>2</v>
      </c>
      <c r="F1004" s="36">
        <v>0.13125000000000001</v>
      </c>
      <c r="G1004" s="36">
        <v>2.5856250000000001E-2</v>
      </c>
      <c r="H1004" s="36">
        <v>7.2450000000000001E-2</v>
      </c>
      <c r="I1004" s="37">
        <v>1.08675E-2</v>
      </c>
      <c r="J1004" s="32">
        <f t="shared" si="240"/>
        <v>0.16120125000000002</v>
      </c>
      <c r="K1004" s="33">
        <f t="shared" si="243"/>
        <v>2.4180187500000002E-2</v>
      </c>
      <c r="L1004" s="33"/>
      <c r="O1004" s="2">
        <f t="shared" si="244"/>
        <v>3.0187500000000003E-2</v>
      </c>
      <c r="P1004" s="2">
        <f t="shared" si="245"/>
        <v>21.734999999999999</v>
      </c>
      <c r="Q1004" s="7">
        <f t="shared" si="246"/>
        <v>98.4375</v>
      </c>
      <c r="R1004" s="2">
        <v>1.2</v>
      </c>
      <c r="S1004" s="2">
        <f t="shared" si="241"/>
        <v>4.45</v>
      </c>
      <c r="T1004" s="2"/>
      <c r="U1004" s="2"/>
      <c r="Y1004" s="8">
        <f t="shared" si="242"/>
        <v>3.5043750000000005</v>
      </c>
    </row>
    <row r="1005" spans="1:25" x14ac:dyDescent="0.25">
      <c r="A1005" s="34">
        <f t="shared" si="251"/>
        <v>997</v>
      </c>
      <c r="B1005" s="35">
        <f t="shared" si="251"/>
        <v>108</v>
      </c>
      <c r="C1005" s="40" t="s">
        <v>274</v>
      </c>
      <c r="D1005" s="35">
        <v>14</v>
      </c>
      <c r="E1005" s="35">
        <v>1</v>
      </c>
      <c r="F1005" s="36">
        <v>0.2195</v>
      </c>
      <c r="G1005" s="36">
        <f>F1005*0.197</f>
        <v>4.3241500000000002E-2</v>
      </c>
      <c r="H1005" s="36">
        <v>0.19600000000000001</v>
      </c>
      <c r="I1005" s="37">
        <f t="shared" ref="I1005:I1014" si="252">H1005*0.15</f>
        <v>2.9399999999999999E-2</v>
      </c>
      <c r="J1005" s="32">
        <f t="shared" si="240"/>
        <v>0.34790000000000004</v>
      </c>
      <c r="K1005" s="33">
        <f t="shared" si="243"/>
        <v>5.2185000000000002E-2</v>
      </c>
      <c r="L1005" s="33"/>
      <c r="O1005" s="2">
        <f t="shared" si="244"/>
        <v>8.1666666666666679E-2</v>
      </c>
      <c r="P1005" s="2">
        <f t="shared" si="245"/>
        <v>58.800000000000011</v>
      </c>
      <c r="Q1005" s="7">
        <f t="shared" si="246"/>
        <v>266.304347826087</v>
      </c>
      <c r="R1005" s="2">
        <v>1.2</v>
      </c>
      <c r="S1005" s="2">
        <f t="shared" si="241"/>
        <v>3.55</v>
      </c>
      <c r="T1005" s="2"/>
      <c r="U1005" s="2"/>
      <c r="Y1005" s="8">
        <f t="shared" si="242"/>
        <v>7.5630434782608704</v>
      </c>
    </row>
    <row r="1006" spans="1:25" x14ac:dyDescent="0.25">
      <c r="A1006" s="34">
        <f t="shared" si="251"/>
        <v>998</v>
      </c>
      <c r="B1006" s="35">
        <f t="shared" si="251"/>
        <v>109</v>
      </c>
      <c r="C1006" s="40" t="s">
        <v>274</v>
      </c>
      <c r="D1006" s="35">
        <v>14</v>
      </c>
      <c r="E1006" s="35">
        <v>2</v>
      </c>
      <c r="F1006" s="36">
        <v>0.2195</v>
      </c>
      <c r="G1006" s="36">
        <f>F1006*0.197</f>
        <v>4.3241500000000002E-2</v>
      </c>
      <c r="H1006" s="36">
        <v>0</v>
      </c>
      <c r="I1006" s="37">
        <f t="shared" si="252"/>
        <v>0</v>
      </c>
      <c r="J1006" s="32">
        <f t="shared" si="240"/>
        <v>0</v>
      </c>
      <c r="K1006" s="33">
        <f t="shared" si="243"/>
        <v>0</v>
      </c>
      <c r="L1006" s="33"/>
      <c r="O1006" s="2">
        <f t="shared" si="244"/>
        <v>0</v>
      </c>
      <c r="P1006" s="2">
        <f t="shared" si="245"/>
        <v>0</v>
      </c>
      <c r="Q1006" s="7">
        <f t="shared" si="246"/>
        <v>0</v>
      </c>
      <c r="R1006" s="2">
        <v>1.2</v>
      </c>
      <c r="S1006" s="2">
        <f t="shared" si="241"/>
        <v>4.45</v>
      </c>
      <c r="T1006" s="2"/>
      <c r="U1006" s="2"/>
      <c r="Y1006" s="8">
        <f t="shared" si="242"/>
        <v>0</v>
      </c>
    </row>
    <row r="1007" spans="1:25" x14ac:dyDescent="0.25">
      <c r="A1007" s="34">
        <f t="shared" si="251"/>
        <v>999</v>
      </c>
      <c r="B1007" s="35">
        <f t="shared" si="251"/>
        <v>110</v>
      </c>
      <c r="C1007" s="40" t="s">
        <v>274</v>
      </c>
      <c r="D1007" s="35">
        <v>59</v>
      </c>
      <c r="E1007" s="35">
        <v>1</v>
      </c>
      <c r="F1007" s="36">
        <v>0.20330000000000001</v>
      </c>
      <c r="G1007" s="36">
        <f t="shared" ref="G1007:G1014" si="253">F1007*0.197</f>
        <v>4.0050100000000005E-2</v>
      </c>
      <c r="H1007" s="36">
        <v>7.0099999999999996E-2</v>
      </c>
      <c r="I1007" s="37">
        <f t="shared" si="252"/>
        <v>1.0514999999999998E-2</v>
      </c>
      <c r="J1007" s="32">
        <f t="shared" si="240"/>
        <v>0.15597249999999999</v>
      </c>
      <c r="K1007" s="33">
        <f t="shared" si="243"/>
        <v>2.3395874999999997E-2</v>
      </c>
      <c r="L1007" s="33"/>
      <c r="O1007" s="2">
        <f t="shared" si="244"/>
        <v>2.9208333333333333E-2</v>
      </c>
      <c r="P1007" s="2">
        <f t="shared" si="245"/>
        <v>21.029999999999998</v>
      </c>
      <c r="Q1007" s="7">
        <f t="shared" si="246"/>
        <v>95.244565217391298</v>
      </c>
      <c r="R1007" s="2">
        <v>1.2</v>
      </c>
      <c r="S1007" s="2">
        <f t="shared" si="241"/>
        <v>4.45</v>
      </c>
      <c r="T1007" s="2"/>
      <c r="U1007" s="2"/>
      <c r="Y1007" s="8">
        <f t="shared" si="242"/>
        <v>3.3907065217391299</v>
      </c>
    </row>
    <row r="1008" spans="1:25" x14ac:dyDescent="0.25">
      <c r="A1008" s="34">
        <f t="shared" si="251"/>
        <v>1000</v>
      </c>
      <c r="B1008" s="35">
        <f t="shared" si="251"/>
        <v>111</v>
      </c>
      <c r="C1008" s="40" t="s">
        <v>274</v>
      </c>
      <c r="D1008" s="35">
        <v>59</v>
      </c>
      <c r="E1008" s="35">
        <v>2</v>
      </c>
      <c r="F1008" s="36">
        <v>0.20330000000000001</v>
      </c>
      <c r="G1008" s="36">
        <f t="shared" si="253"/>
        <v>4.0050100000000005E-2</v>
      </c>
      <c r="H1008" s="36">
        <v>7.0099999999999996E-2</v>
      </c>
      <c r="I1008" s="37">
        <f t="shared" si="252"/>
        <v>1.0514999999999998E-2</v>
      </c>
      <c r="J1008" s="32">
        <f t="shared" si="240"/>
        <v>0.15597249999999999</v>
      </c>
      <c r="K1008" s="33">
        <f t="shared" si="243"/>
        <v>2.3395874999999997E-2</v>
      </c>
      <c r="L1008" s="33"/>
      <c r="O1008" s="2">
        <f t="shared" si="244"/>
        <v>2.9208333333333333E-2</v>
      </c>
      <c r="P1008" s="2">
        <f t="shared" si="245"/>
        <v>21.029999999999998</v>
      </c>
      <c r="Q1008" s="7">
        <f t="shared" si="246"/>
        <v>95.244565217391298</v>
      </c>
      <c r="R1008" s="2">
        <v>1.2</v>
      </c>
      <c r="S1008" s="2">
        <f t="shared" si="241"/>
        <v>4.45</v>
      </c>
      <c r="T1008" s="2"/>
      <c r="U1008" s="2"/>
      <c r="Y1008" s="8">
        <f t="shared" si="242"/>
        <v>3.3907065217391299</v>
      </c>
    </row>
    <row r="1009" spans="1:25" x14ac:dyDescent="0.25">
      <c r="A1009" s="34">
        <f t="shared" si="251"/>
        <v>1001</v>
      </c>
      <c r="B1009" s="35">
        <f t="shared" si="251"/>
        <v>112</v>
      </c>
      <c r="C1009" s="40" t="s">
        <v>274</v>
      </c>
      <c r="D1009" s="35">
        <v>61</v>
      </c>
      <c r="E1009" s="35"/>
      <c r="F1009" s="36">
        <v>0.18079999999999999</v>
      </c>
      <c r="G1009" s="36">
        <f t="shared" si="253"/>
        <v>3.5617599999999999E-2</v>
      </c>
      <c r="H1009" s="36">
        <v>4.2000000000000003E-2</v>
      </c>
      <c r="I1009" s="37">
        <f t="shared" si="252"/>
        <v>6.3E-3</v>
      </c>
      <c r="J1009" s="32">
        <f t="shared" si="240"/>
        <v>9.3450000000000005E-2</v>
      </c>
      <c r="K1009" s="33">
        <f t="shared" si="243"/>
        <v>1.40175E-2</v>
      </c>
      <c r="L1009" s="33"/>
      <c r="O1009" s="2">
        <f t="shared" si="244"/>
        <v>1.7500000000000002E-2</v>
      </c>
      <c r="P1009" s="2">
        <f t="shared" si="245"/>
        <v>12.600000000000001</v>
      </c>
      <c r="Q1009" s="7">
        <f t="shared" si="246"/>
        <v>57.065217391304358</v>
      </c>
      <c r="R1009" s="2">
        <v>1.2</v>
      </c>
      <c r="S1009" s="2">
        <f t="shared" si="241"/>
        <v>4.45</v>
      </c>
      <c r="T1009" s="2"/>
      <c r="U1009" s="2"/>
      <c r="Y1009" s="8">
        <f t="shared" si="242"/>
        <v>2.0315217391304348</v>
      </c>
    </row>
    <row r="1010" spans="1:25" x14ac:dyDescent="0.25">
      <c r="A1010" s="34">
        <f t="shared" si="251"/>
        <v>1002</v>
      </c>
      <c r="B1010" s="35">
        <f t="shared" si="251"/>
        <v>113</v>
      </c>
      <c r="C1010" s="40" t="s">
        <v>274</v>
      </c>
      <c r="D1010" s="35">
        <v>76</v>
      </c>
      <c r="E1010" s="35"/>
      <c r="F1010" s="36">
        <v>0.20949999999999999</v>
      </c>
      <c r="G1010" s="36">
        <f t="shared" si="253"/>
        <v>4.1271500000000003E-2</v>
      </c>
      <c r="H1010" s="36">
        <v>0.14141300000000001</v>
      </c>
      <c r="I1010" s="37">
        <f t="shared" si="252"/>
        <v>2.121195E-2</v>
      </c>
      <c r="J1010" s="32">
        <f t="shared" si="240"/>
        <v>0.26161405000000004</v>
      </c>
      <c r="K1010" s="33">
        <f t="shared" si="243"/>
        <v>3.9242107500000005E-2</v>
      </c>
      <c r="L1010" s="33"/>
      <c r="O1010" s="2">
        <f t="shared" si="244"/>
        <v>5.892208333333334E-2</v>
      </c>
      <c r="P1010" s="2">
        <f t="shared" si="245"/>
        <v>42.423900000000003</v>
      </c>
      <c r="Q1010" s="7">
        <f t="shared" si="246"/>
        <v>192.13722826086959</v>
      </c>
      <c r="R1010" s="2">
        <v>1.2</v>
      </c>
      <c r="S1010" s="2">
        <f t="shared" si="241"/>
        <v>3.7</v>
      </c>
      <c r="T1010" s="2"/>
      <c r="U1010" s="2"/>
      <c r="Y1010" s="8">
        <f t="shared" si="242"/>
        <v>5.6872619565217404</v>
      </c>
    </row>
    <row r="1011" spans="1:25" x14ac:dyDescent="0.25">
      <c r="A1011" s="34">
        <f t="shared" si="251"/>
        <v>1003</v>
      </c>
      <c r="B1011" s="35">
        <f t="shared" si="251"/>
        <v>114</v>
      </c>
      <c r="C1011" s="40" t="s">
        <v>274</v>
      </c>
      <c r="D1011" s="35">
        <v>78</v>
      </c>
      <c r="E1011" s="35"/>
      <c r="F1011" s="36">
        <v>0.1227</v>
      </c>
      <c r="G1011" s="36">
        <f t="shared" si="253"/>
        <v>2.4171900000000003E-2</v>
      </c>
      <c r="H1011" s="36">
        <v>3.09E-2</v>
      </c>
      <c r="I1011" s="37">
        <f t="shared" si="252"/>
        <v>4.6350000000000002E-3</v>
      </c>
      <c r="J1011" s="32">
        <f t="shared" si="240"/>
        <v>6.8752500000000008E-2</v>
      </c>
      <c r="K1011" s="33">
        <f t="shared" si="243"/>
        <v>1.0312875000000001E-2</v>
      </c>
      <c r="L1011" s="33"/>
      <c r="O1011" s="2">
        <f t="shared" si="244"/>
        <v>1.2875000000000001E-2</v>
      </c>
      <c r="P1011" s="2">
        <f t="shared" si="245"/>
        <v>9.2700000000000014</v>
      </c>
      <c r="Q1011" s="7">
        <f t="shared" si="246"/>
        <v>41.983695652173921</v>
      </c>
      <c r="R1011" s="2">
        <v>1.2</v>
      </c>
      <c r="S1011" s="2">
        <f t="shared" si="241"/>
        <v>4.45</v>
      </c>
      <c r="T1011" s="2"/>
      <c r="U1011" s="2"/>
      <c r="Y1011" s="8">
        <f t="shared" si="242"/>
        <v>1.4946195652173915</v>
      </c>
    </row>
    <row r="1012" spans="1:25" x14ac:dyDescent="0.25">
      <c r="A1012" s="34">
        <f t="shared" si="251"/>
        <v>1004</v>
      </c>
      <c r="B1012" s="35">
        <f t="shared" si="251"/>
        <v>115</v>
      </c>
      <c r="C1012" s="40" t="s">
        <v>275</v>
      </c>
      <c r="D1012" s="35">
        <v>1</v>
      </c>
      <c r="E1012" s="35"/>
      <c r="F1012" s="36">
        <v>0.2097</v>
      </c>
      <c r="G1012" s="36">
        <f t="shared" si="253"/>
        <v>4.1310900000000005E-2</v>
      </c>
      <c r="H1012" s="36">
        <v>6.1800000000000001E-2</v>
      </c>
      <c r="I1012" s="37">
        <f t="shared" si="252"/>
        <v>9.2700000000000005E-3</v>
      </c>
      <c r="J1012" s="32">
        <f t="shared" si="240"/>
        <v>0.13750500000000002</v>
      </c>
      <c r="K1012" s="33">
        <f t="shared" si="243"/>
        <v>2.0625750000000002E-2</v>
      </c>
      <c r="L1012" s="33"/>
      <c r="O1012" s="2">
        <f t="shared" si="244"/>
        <v>2.5750000000000002E-2</v>
      </c>
      <c r="P1012" s="2">
        <f t="shared" si="245"/>
        <v>18.540000000000003</v>
      </c>
      <c r="Q1012" s="7">
        <f t="shared" si="246"/>
        <v>83.967391304347842</v>
      </c>
      <c r="R1012" s="2">
        <v>1.2</v>
      </c>
      <c r="S1012" s="2">
        <f t="shared" si="241"/>
        <v>4.45</v>
      </c>
      <c r="T1012" s="2"/>
      <c r="U1012" s="2"/>
      <c r="Y1012" s="8">
        <f t="shared" si="242"/>
        <v>2.989239130434783</v>
      </c>
    </row>
    <row r="1013" spans="1:25" x14ac:dyDescent="0.25">
      <c r="A1013" s="34">
        <f t="shared" si="251"/>
        <v>1005</v>
      </c>
      <c r="B1013" s="35">
        <f t="shared" si="251"/>
        <v>116</v>
      </c>
      <c r="C1013" s="40" t="s">
        <v>275</v>
      </c>
      <c r="D1013" s="41" t="s">
        <v>125</v>
      </c>
      <c r="E1013" s="35"/>
      <c r="F1013" s="36">
        <v>0.21199999999999999</v>
      </c>
      <c r="G1013" s="36">
        <f t="shared" si="253"/>
        <v>4.1764000000000003E-2</v>
      </c>
      <c r="H1013" s="36">
        <v>7.5800000000000006E-2</v>
      </c>
      <c r="I1013" s="37">
        <f t="shared" si="252"/>
        <v>1.137E-2</v>
      </c>
      <c r="J1013" s="32">
        <f t="shared" si="240"/>
        <v>0.16865500000000003</v>
      </c>
      <c r="K1013" s="33">
        <f t="shared" si="243"/>
        <v>2.5298250000000005E-2</v>
      </c>
      <c r="L1013" s="33"/>
      <c r="O1013" s="2">
        <f t="shared" si="244"/>
        <v>3.1583333333333338E-2</v>
      </c>
      <c r="P1013" s="2">
        <f t="shared" si="245"/>
        <v>22.740000000000002</v>
      </c>
      <c r="Q1013" s="7">
        <f t="shared" si="246"/>
        <v>102.98913043478262</v>
      </c>
      <c r="R1013" s="2">
        <v>1.2</v>
      </c>
      <c r="S1013" s="2">
        <f t="shared" si="241"/>
        <v>4.45</v>
      </c>
      <c r="T1013" s="2"/>
      <c r="U1013" s="2"/>
      <c r="Y1013" s="8">
        <f t="shared" si="242"/>
        <v>3.6664130434782618</v>
      </c>
    </row>
    <row r="1014" spans="1:25" x14ac:dyDescent="0.25">
      <c r="A1014" s="34">
        <f t="shared" si="251"/>
        <v>1006</v>
      </c>
      <c r="B1014" s="35">
        <f t="shared" si="251"/>
        <v>117</v>
      </c>
      <c r="C1014" s="40" t="s">
        <v>275</v>
      </c>
      <c r="D1014" s="41" t="s">
        <v>276</v>
      </c>
      <c r="E1014" s="35"/>
      <c r="F1014" s="36">
        <v>0.42030000000000001</v>
      </c>
      <c r="G1014" s="36">
        <f t="shared" si="253"/>
        <v>8.27991E-2</v>
      </c>
      <c r="H1014" s="36">
        <v>0.13400000000000001</v>
      </c>
      <c r="I1014" s="37">
        <f t="shared" si="252"/>
        <v>2.01E-2</v>
      </c>
      <c r="J1014" s="32">
        <f t="shared" si="240"/>
        <v>0.24790000000000004</v>
      </c>
      <c r="K1014" s="33">
        <f t="shared" si="243"/>
        <v>3.7185000000000003E-2</v>
      </c>
      <c r="L1014" s="33"/>
      <c r="O1014" s="2">
        <f t="shared" si="244"/>
        <v>5.5833333333333339E-2</v>
      </c>
      <c r="P1014" s="2">
        <f t="shared" si="245"/>
        <v>40.200000000000003</v>
      </c>
      <c r="Q1014" s="7">
        <f t="shared" si="246"/>
        <v>182.06521739130437</v>
      </c>
      <c r="R1014" s="2">
        <v>1.2</v>
      </c>
      <c r="S1014" s="2">
        <f t="shared" si="241"/>
        <v>3.7</v>
      </c>
      <c r="T1014" s="2"/>
      <c r="U1014" s="2"/>
      <c r="Y1014" s="8">
        <f t="shared" si="242"/>
        <v>5.3891304347826097</v>
      </c>
    </row>
    <row r="1015" spans="1:25" x14ac:dyDescent="0.25">
      <c r="A1015" s="34">
        <f t="shared" si="251"/>
        <v>1007</v>
      </c>
      <c r="B1015" s="35">
        <f t="shared" si="251"/>
        <v>118</v>
      </c>
      <c r="C1015" s="40" t="s">
        <v>275</v>
      </c>
      <c r="D1015" s="44" t="s">
        <v>41</v>
      </c>
      <c r="E1015" s="43">
        <v>1</v>
      </c>
      <c r="F1015" s="36">
        <v>0.28870000000000001</v>
      </c>
      <c r="G1015" s="36">
        <v>5.6873899999999998E-2</v>
      </c>
      <c r="H1015" s="36">
        <v>9.35E-2</v>
      </c>
      <c r="I1015" s="37">
        <v>1.4024999999999999E-2</v>
      </c>
      <c r="J1015" s="32">
        <f t="shared" si="240"/>
        <v>0.20803750000000004</v>
      </c>
      <c r="K1015" s="33">
        <f t="shared" si="243"/>
        <v>3.1205625000000004E-2</v>
      </c>
      <c r="L1015" s="33"/>
      <c r="O1015" s="2">
        <f t="shared" si="244"/>
        <v>3.8958333333333338E-2</v>
      </c>
      <c r="P1015" s="2">
        <f t="shared" si="245"/>
        <v>28.05</v>
      </c>
      <c r="Q1015" s="7">
        <f t="shared" si="246"/>
        <v>127.03804347826087</v>
      </c>
      <c r="R1015" s="2">
        <v>1.2</v>
      </c>
      <c r="S1015" s="2">
        <f t="shared" si="241"/>
        <v>4.45</v>
      </c>
      <c r="T1015" s="2"/>
      <c r="U1015" s="2"/>
      <c r="Y1015" s="8">
        <f t="shared" si="242"/>
        <v>4.5225543478260883</v>
      </c>
    </row>
    <row r="1016" spans="1:25" x14ac:dyDescent="0.25">
      <c r="A1016" s="34">
        <f t="shared" si="251"/>
        <v>1008</v>
      </c>
      <c r="B1016" s="35">
        <f t="shared" si="251"/>
        <v>119</v>
      </c>
      <c r="C1016" s="40" t="s">
        <v>275</v>
      </c>
      <c r="D1016" s="44" t="s">
        <v>41</v>
      </c>
      <c r="E1016" s="43">
        <v>2</v>
      </c>
      <c r="F1016" s="36">
        <v>0.28870000000000001</v>
      </c>
      <c r="G1016" s="36">
        <v>5.6873899999999998E-2</v>
      </c>
      <c r="H1016" s="36">
        <v>9.35E-2</v>
      </c>
      <c r="I1016" s="37">
        <v>1.4024999999999999E-2</v>
      </c>
      <c r="J1016" s="32">
        <f t="shared" si="240"/>
        <v>0.20803750000000004</v>
      </c>
      <c r="K1016" s="33">
        <f t="shared" si="243"/>
        <v>3.1205625000000004E-2</v>
      </c>
      <c r="L1016" s="33"/>
      <c r="O1016" s="2">
        <f t="shared" si="244"/>
        <v>3.8958333333333338E-2</v>
      </c>
      <c r="P1016" s="2">
        <f t="shared" si="245"/>
        <v>28.05</v>
      </c>
      <c r="Q1016" s="7">
        <f t="shared" si="246"/>
        <v>127.03804347826087</v>
      </c>
      <c r="R1016" s="2">
        <v>1.2</v>
      </c>
      <c r="S1016" s="2">
        <f t="shared" si="241"/>
        <v>4.45</v>
      </c>
      <c r="T1016" s="2"/>
      <c r="U1016" s="2"/>
      <c r="Y1016" s="8">
        <f t="shared" si="242"/>
        <v>4.5225543478260883</v>
      </c>
    </row>
    <row r="1017" spans="1:25" x14ac:dyDescent="0.25">
      <c r="A1017" s="34">
        <f t="shared" si="251"/>
        <v>1009</v>
      </c>
      <c r="B1017" s="35">
        <f t="shared" si="251"/>
        <v>120</v>
      </c>
      <c r="C1017" s="40" t="s">
        <v>275</v>
      </c>
      <c r="D1017" s="44" t="s">
        <v>81</v>
      </c>
      <c r="E1017" s="43">
        <v>1</v>
      </c>
      <c r="F1017" s="36">
        <v>0.28599999999999998</v>
      </c>
      <c r="G1017" s="36">
        <v>5.6342000000000003E-2</v>
      </c>
      <c r="H1017" s="36">
        <v>0.1115</v>
      </c>
      <c r="I1017" s="37">
        <v>1.6725E-2</v>
      </c>
      <c r="J1017" s="32">
        <f t="shared" si="240"/>
        <v>0.20627500000000001</v>
      </c>
      <c r="K1017" s="33">
        <f t="shared" si="243"/>
        <v>3.094125E-2</v>
      </c>
      <c r="L1017" s="33"/>
      <c r="O1017" s="2">
        <f t="shared" si="244"/>
        <v>4.6458333333333338E-2</v>
      </c>
      <c r="P1017" s="2">
        <f t="shared" si="245"/>
        <v>33.450000000000003</v>
      </c>
      <c r="Q1017" s="7">
        <f t="shared" si="246"/>
        <v>151.49456521739131</v>
      </c>
      <c r="R1017" s="2">
        <v>1.2</v>
      </c>
      <c r="S1017" s="2">
        <f t="shared" si="241"/>
        <v>3.7</v>
      </c>
      <c r="T1017" s="2"/>
      <c r="U1017" s="2"/>
      <c r="Y1017" s="8">
        <f t="shared" si="242"/>
        <v>4.4842391304347826</v>
      </c>
    </row>
    <row r="1018" spans="1:25" x14ac:dyDescent="0.25">
      <c r="A1018" s="34">
        <f t="shared" si="251"/>
        <v>1010</v>
      </c>
      <c r="B1018" s="35">
        <f t="shared" si="251"/>
        <v>121</v>
      </c>
      <c r="C1018" s="40" t="s">
        <v>275</v>
      </c>
      <c r="D1018" s="44" t="s">
        <v>81</v>
      </c>
      <c r="E1018" s="43">
        <v>2</v>
      </c>
      <c r="F1018" s="36">
        <v>0.28599999999999998</v>
      </c>
      <c r="G1018" s="36">
        <v>5.6342000000000003E-2</v>
      </c>
      <c r="H1018" s="36">
        <v>0.1115</v>
      </c>
      <c r="I1018" s="37">
        <v>1.6725E-2</v>
      </c>
      <c r="J1018" s="32">
        <f t="shared" si="240"/>
        <v>0.20627500000000001</v>
      </c>
      <c r="K1018" s="33">
        <f t="shared" si="243"/>
        <v>3.094125E-2</v>
      </c>
      <c r="L1018" s="33"/>
      <c r="O1018" s="2">
        <f t="shared" si="244"/>
        <v>4.6458333333333338E-2</v>
      </c>
      <c r="P1018" s="2">
        <f t="shared" si="245"/>
        <v>33.450000000000003</v>
      </c>
      <c r="Q1018" s="7">
        <f t="shared" si="246"/>
        <v>151.49456521739131</v>
      </c>
      <c r="R1018" s="2">
        <v>1.2</v>
      </c>
      <c r="S1018" s="2">
        <f t="shared" si="241"/>
        <v>3.7</v>
      </c>
      <c r="T1018" s="2"/>
      <c r="U1018" s="2"/>
      <c r="Y1018" s="8">
        <f t="shared" si="242"/>
        <v>4.4842391304347826</v>
      </c>
    </row>
    <row r="1019" spans="1:25" x14ac:dyDescent="0.25">
      <c r="A1019" s="34">
        <f t="shared" si="251"/>
        <v>1011</v>
      </c>
      <c r="B1019" s="35">
        <f t="shared" si="251"/>
        <v>122</v>
      </c>
      <c r="C1019" s="40" t="s">
        <v>275</v>
      </c>
      <c r="D1019" s="41" t="s">
        <v>277</v>
      </c>
      <c r="E1019" s="35"/>
      <c r="F1019" s="36">
        <v>0.31419999999999998</v>
      </c>
      <c r="G1019" s="36">
        <f>F1019*0.197</f>
        <v>6.1897399999999998E-2</v>
      </c>
      <c r="H1019" s="36">
        <v>0.1045</v>
      </c>
      <c r="I1019" s="37">
        <f>H1019*0.15</f>
        <v>1.5674999999999998E-2</v>
      </c>
      <c r="J1019" s="32">
        <f t="shared" si="240"/>
        <v>0.23251250000000001</v>
      </c>
      <c r="K1019" s="33">
        <f t="shared" si="243"/>
        <v>3.4876875000000002E-2</v>
      </c>
      <c r="L1019" s="33"/>
      <c r="O1019" s="2">
        <f t="shared" si="244"/>
        <v>4.3541666666666666E-2</v>
      </c>
      <c r="P1019" s="2">
        <f t="shared" si="245"/>
        <v>31.349999999999998</v>
      </c>
      <c r="Q1019" s="7">
        <f t="shared" si="246"/>
        <v>141.98369565217391</v>
      </c>
      <c r="R1019" s="2">
        <v>1.2</v>
      </c>
      <c r="S1019" s="2">
        <f t="shared" si="241"/>
        <v>4.45</v>
      </c>
      <c r="T1019" s="2"/>
      <c r="U1019" s="2"/>
      <c r="Y1019" s="8">
        <f t="shared" si="242"/>
        <v>5.0546195652173918</v>
      </c>
    </row>
    <row r="1020" spans="1:25" x14ac:dyDescent="0.25">
      <c r="A1020" s="34">
        <f t="shared" ref="A1020:B1034" si="254">A1019+1</f>
        <v>1012</v>
      </c>
      <c r="B1020" s="35">
        <f t="shared" si="254"/>
        <v>123</v>
      </c>
      <c r="C1020" s="40" t="s">
        <v>275</v>
      </c>
      <c r="D1020" s="41" t="s">
        <v>43</v>
      </c>
      <c r="E1020" s="35"/>
      <c r="F1020" s="36">
        <v>0.2137</v>
      </c>
      <c r="G1020" s="36">
        <f>F1020*0.197</f>
        <v>4.2098900000000002E-2</v>
      </c>
      <c r="H1020" s="36">
        <v>6.8400000000000002E-2</v>
      </c>
      <c r="I1020" s="37">
        <f>H1020*0.15</f>
        <v>1.026E-2</v>
      </c>
      <c r="J1020" s="32">
        <f t="shared" si="240"/>
        <v>0.15219000000000002</v>
      </c>
      <c r="K1020" s="33">
        <f t="shared" si="243"/>
        <v>2.2828500000000002E-2</v>
      </c>
      <c r="L1020" s="33"/>
      <c r="O1020" s="2">
        <f t="shared" si="244"/>
        <v>2.8500000000000001E-2</v>
      </c>
      <c r="P1020" s="2">
        <f t="shared" si="245"/>
        <v>20.520000000000003</v>
      </c>
      <c r="Q1020" s="7">
        <f t="shared" si="246"/>
        <v>92.93478260869567</v>
      </c>
      <c r="R1020" s="2">
        <v>1.2</v>
      </c>
      <c r="S1020" s="2">
        <f t="shared" si="241"/>
        <v>4.45</v>
      </c>
      <c r="T1020" s="2"/>
      <c r="U1020" s="2"/>
      <c r="Y1020" s="8">
        <f t="shared" si="242"/>
        <v>3.3084782608695655</v>
      </c>
    </row>
    <row r="1021" spans="1:25" x14ac:dyDescent="0.25">
      <c r="A1021" s="34">
        <f t="shared" si="254"/>
        <v>1013</v>
      </c>
      <c r="B1021" s="35">
        <f t="shared" si="254"/>
        <v>124</v>
      </c>
      <c r="C1021" s="40" t="s">
        <v>275</v>
      </c>
      <c r="D1021" s="44" t="s">
        <v>156</v>
      </c>
      <c r="E1021" s="43">
        <v>1</v>
      </c>
      <c r="F1021" s="36">
        <v>0.25230000000000002</v>
      </c>
      <c r="G1021" s="36">
        <v>4.97031E-2</v>
      </c>
      <c r="H1021" s="36">
        <v>8.6099999999999996E-2</v>
      </c>
      <c r="I1021" s="37">
        <v>1.2914999999999999E-2</v>
      </c>
      <c r="J1021" s="32">
        <f t="shared" si="240"/>
        <v>0.19157250000000001</v>
      </c>
      <c r="K1021" s="33">
        <f t="shared" si="243"/>
        <v>2.8735875000000001E-2</v>
      </c>
      <c r="L1021" s="33"/>
      <c r="O1021" s="2">
        <f t="shared" si="244"/>
        <v>3.5874999999999997E-2</v>
      </c>
      <c r="P1021" s="2">
        <f t="shared" si="245"/>
        <v>25.83</v>
      </c>
      <c r="Q1021" s="7">
        <f t="shared" si="246"/>
        <v>116.98369565217391</v>
      </c>
      <c r="R1021" s="2">
        <v>1.2</v>
      </c>
      <c r="S1021" s="2">
        <f t="shared" si="241"/>
        <v>4.45</v>
      </c>
      <c r="T1021" s="2"/>
      <c r="U1021" s="2"/>
      <c r="Y1021" s="8">
        <f t="shared" si="242"/>
        <v>4.1646195652173912</v>
      </c>
    </row>
    <row r="1022" spans="1:25" x14ac:dyDescent="0.25">
      <c r="A1022" s="34">
        <f t="shared" si="254"/>
        <v>1014</v>
      </c>
      <c r="B1022" s="35">
        <f t="shared" si="254"/>
        <v>125</v>
      </c>
      <c r="C1022" s="40" t="s">
        <v>275</v>
      </c>
      <c r="D1022" s="44" t="s">
        <v>156</v>
      </c>
      <c r="E1022" s="43">
        <v>2</v>
      </c>
      <c r="F1022" s="36">
        <v>0.25230000000000002</v>
      </c>
      <c r="G1022" s="36">
        <v>4.97031E-2</v>
      </c>
      <c r="H1022" s="36">
        <v>8.6099999999999996E-2</v>
      </c>
      <c r="I1022" s="37">
        <v>1.2914999999999999E-2</v>
      </c>
      <c r="J1022" s="32">
        <f t="shared" si="240"/>
        <v>0.19157250000000001</v>
      </c>
      <c r="K1022" s="33">
        <f t="shared" si="243"/>
        <v>2.8735875000000001E-2</v>
      </c>
      <c r="L1022" s="33"/>
      <c r="O1022" s="2">
        <f t="shared" si="244"/>
        <v>3.5874999999999997E-2</v>
      </c>
      <c r="P1022" s="2">
        <f t="shared" si="245"/>
        <v>25.83</v>
      </c>
      <c r="Q1022" s="7">
        <f t="shared" si="246"/>
        <v>116.98369565217391</v>
      </c>
      <c r="R1022" s="2">
        <v>1.2</v>
      </c>
      <c r="S1022" s="2">
        <f t="shared" si="241"/>
        <v>4.45</v>
      </c>
      <c r="T1022" s="2"/>
      <c r="U1022" s="2"/>
      <c r="Y1022" s="8">
        <f t="shared" si="242"/>
        <v>4.1646195652173912</v>
      </c>
    </row>
    <row r="1023" spans="1:25" x14ac:dyDescent="0.25">
      <c r="A1023" s="34">
        <f t="shared" si="254"/>
        <v>1015</v>
      </c>
      <c r="B1023" s="35">
        <f t="shared" si="254"/>
        <v>126</v>
      </c>
      <c r="C1023" s="40" t="s">
        <v>275</v>
      </c>
      <c r="D1023" s="41" t="s">
        <v>278</v>
      </c>
      <c r="E1023" s="35"/>
      <c r="F1023" s="36">
        <v>0.22509999999999999</v>
      </c>
      <c r="G1023" s="36">
        <f>F1023*0.197</f>
        <v>4.4344700000000001E-2</v>
      </c>
      <c r="H1023" s="36">
        <v>7.9500000000000001E-2</v>
      </c>
      <c r="I1023" s="37">
        <f>H1023*0.15</f>
        <v>1.1925E-2</v>
      </c>
      <c r="J1023" s="32">
        <f t="shared" si="240"/>
        <v>0.1768875</v>
      </c>
      <c r="K1023" s="33">
        <f t="shared" si="243"/>
        <v>2.6533125000000001E-2</v>
      </c>
      <c r="L1023" s="33"/>
      <c r="O1023" s="2">
        <f t="shared" si="244"/>
        <v>3.3125000000000002E-2</v>
      </c>
      <c r="P1023" s="2">
        <f t="shared" si="245"/>
        <v>23.85</v>
      </c>
      <c r="Q1023" s="7">
        <f t="shared" si="246"/>
        <v>108.01630434782609</v>
      </c>
      <c r="R1023" s="2">
        <v>1.2</v>
      </c>
      <c r="S1023" s="2">
        <f t="shared" si="241"/>
        <v>4.45</v>
      </c>
      <c r="T1023" s="2"/>
      <c r="U1023" s="2"/>
      <c r="Y1023" s="8">
        <f t="shared" si="242"/>
        <v>3.8453804347826086</v>
      </c>
    </row>
    <row r="1024" spans="1:25" x14ac:dyDescent="0.25">
      <c r="A1024" s="34">
        <f t="shared" si="254"/>
        <v>1016</v>
      </c>
      <c r="B1024" s="35">
        <f t="shared" si="254"/>
        <v>127</v>
      </c>
      <c r="C1024" s="40" t="s">
        <v>275</v>
      </c>
      <c r="D1024" s="41" t="s">
        <v>82</v>
      </c>
      <c r="E1024" s="35"/>
      <c r="F1024" s="36">
        <v>0.21870000000000001</v>
      </c>
      <c r="G1024" s="36">
        <f>F1024*0.197</f>
        <v>4.3083900000000001E-2</v>
      </c>
      <c r="H1024" s="36">
        <v>6.9900000000000004E-2</v>
      </c>
      <c r="I1024" s="37">
        <f>H1024*0.15</f>
        <v>1.0485E-2</v>
      </c>
      <c r="J1024" s="32">
        <f t="shared" si="240"/>
        <v>0.15552750000000001</v>
      </c>
      <c r="K1024" s="33">
        <f t="shared" si="243"/>
        <v>2.3329125000000003E-2</v>
      </c>
      <c r="L1024" s="33"/>
      <c r="O1024" s="2">
        <f t="shared" si="244"/>
        <v>2.9125000000000002E-2</v>
      </c>
      <c r="P1024" s="2">
        <f t="shared" si="245"/>
        <v>20.970000000000002</v>
      </c>
      <c r="Q1024" s="7">
        <f t="shared" si="246"/>
        <v>94.97282608695653</v>
      </c>
      <c r="R1024" s="2">
        <v>1.2</v>
      </c>
      <c r="S1024" s="2">
        <f t="shared" si="241"/>
        <v>4.45</v>
      </c>
      <c r="T1024" s="2"/>
      <c r="U1024" s="2"/>
      <c r="Y1024" s="8">
        <f t="shared" si="242"/>
        <v>3.3810326086956524</v>
      </c>
    </row>
    <row r="1025" spans="1:25" x14ac:dyDescent="0.25">
      <c r="A1025" s="34">
        <f t="shared" si="254"/>
        <v>1017</v>
      </c>
      <c r="B1025" s="35">
        <f t="shared" si="254"/>
        <v>128</v>
      </c>
      <c r="C1025" s="40" t="s">
        <v>275</v>
      </c>
      <c r="D1025" s="44" t="s">
        <v>46</v>
      </c>
      <c r="E1025" s="43"/>
      <c r="F1025" s="36">
        <v>0.1628</v>
      </c>
      <c r="G1025" s="36">
        <v>3.2071599999999999E-2</v>
      </c>
      <c r="H1025" s="36">
        <v>4.8599999999999997E-2</v>
      </c>
      <c r="I1025" s="37">
        <v>7.2899999999999996E-3</v>
      </c>
      <c r="J1025" s="32">
        <f t="shared" si="240"/>
        <v>0.108135</v>
      </c>
      <c r="K1025" s="33">
        <f t="shared" si="243"/>
        <v>1.6220249999999999E-2</v>
      </c>
      <c r="L1025" s="33"/>
      <c r="O1025" s="2">
        <f t="shared" si="244"/>
        <v>2.0250000000000001E-2</v>
      </c>
      <c r="P1025" s="2">
        <f t="shared" si="245"/>
        <v>14.58</v>
      </c>
      <c r="Q1025" s="7">
        <f t="shared" si="246"/>
        <v>66.032608695652172</v>
      </c>
      <c r="R1025" s="2">
        <v>1.2</v>
      </c>
      <c r="S1025" s="2">
        <f t="shared" si="241"/>
        <v>4.45</v>
      </c>
      <c r="T1025" s="2"/>
      <c r="U1025" s="2"/>
      <c r="Y1025" s="8">
        <f t="shared" si="242"/>
        <v>2.3507608695652173</v>
      </c>
    </row>
    <row r="1026" spans="1:25" x14ac:dyDescent="0.25">
      <c r="A1026" s="34">
        <f t="shared" si="254"/>
        <v>1018</v>
      </c>
      <c r="B1026" s="35">
        <f t="shared" si="254"/>
        <v>129</v>
      </c>
      <c r="C1026" s="40" t="s">
        <v>275</v>
      </c>
      <c r="D1026" s="41" t="s">
        <v>279</v>
      </c>
      <c r="E1026" s="35"/>
      <c r="F1026" s="36">
        <v>0.22509999999999999</v>
      </c>
      <c r="G1026" s="36">
        <f>F1026*0.197</f>
        <v>4.4344700000000001E-2</v>
      </c>
      <c r="H1026" s="36">
        <v>8.1699999999999995E-2</v>
      </c>
      <c r="I1026" s="37">
        <f>H1026*0.15</f>
        <v>1.2254999999999999E-2</v>
      </c>
      <c r="J1026" s="32">
        <f t="shared" si="240"/>
        <v>0.18178249999999999</v>
      </c>
      <c r="K1026" s="33">
        <f t="shared" si="243"/>
        <v>2.7267374999999996E-2</v>
      </c>
      <c r="L1026" s="33"/>
      <c r="O1026" s="2">
        <f t="shared" si="244"/>
        <v>3.4041666666666665E-2</v>
      </c>
      <c r="P1026" s="2">
        <f t="shared" si="245"/>
        <v>24.509999999999998</v>
      </c>
      <c r="Q1026" s="7">
        <f t="shared" si="246"/>
        <v>111.00543478260869</v>
      </c>
      <c r="R1026" s="2">
        <v>1.2</v>
      </c>
      <c r="S1026" s="2">
        <f t="shared" si="241"/>
        <v>4.45</v>
      </c>
      <c r="T1026" s="2"/>
      <c r="U1026" s="2"/>
      <c r="Y1026" s="8">
        <f t="shared" si="242"/>
        <v>3.9517934782608695</v>
      </c>
    </row>
    <row r="1027" spans="1:25" x14ac:dyDescent="0.25">
      <c r="A1027" s="34">
        <f t="shared" si="254"/>
        <v>1019</v>
      </c>
      <c r="B1027" s="35">
        <f t="shared" si="254"/>
        <v>130</v>
      </c>
      <c r="C1027" s="40" t="s">
        <v>275</v>
      </c>
      <c r="D1027" s="41" t="s">
        <v>47</v>
      </c>
      <c r="E1027" s="35"/>
      <c r="F1027" s="36">
        <v>0.2082</v>
      </c>
      <c r="G1027" s="36">
        <f>F1027*0.197</f>
        <v>4.10154E-2</v>
      </c>
      <c r="H1027" s="36">
        <v>8.2400000000000001E-2</v>
      </c>
      <c r="I1027" s="37">
        <f>H1027*0.15</f>
        <v>1.2359999999999999E-2</v>
      </c>
      <c r="J1027" s="32">
        <f t="shared" si="240"/>
        <v>0.18334</v>
      </c>
      <c r="K1027" s="33">
        <f t="shared" si="243"/>
        <v>2.7501000000000001E-2</v>
      </c>
      <c r="L1027" s="33"/>
      <c r="O1027" s="2">
        <f t="shared" si="244"/>
        <v>3.4333333333333334E-2</v>
      </c>
      <c r="P1027" s="2">
        <f t="shared" si="245"/>
        <v>24.720000000000002</v>
      </c>
      <c r="Q1027" s="7">
        <f t="shared" si="246"/>
        <v>111.95652173913045</v>
      </c>
      <c r="R1027" s="2">
        <v>1.2</v>
      </c>
      <c r="S1027" s="2">
        <f t="shared" si="241"/>
        <v>4.45</v>
      </c>
      <c r="T1027" s="2"/>
      <c r="U1027" s="2"/>
      <c r="Y1027" s="8">
        <f t="shared" si="242"/>
        <v>3.9856521739130439</v>
      </c>
    </row>
    <row r="1028" spans="1:25" x14ac:dyDescent="0.25">
      <c r="A1028" s="34">
        <f t="shared" si="254"/>
        <v>1020</v>
      </c>
      <c r="B1028" s="35">
        <f t="shared" si="254"/>
        <v>131</v>
      </c>
      <c r="C1028" s="40" t="s">
        <v>275</v>
      </c>
      <c r="D1028" s="44" t="s">
        <v>280</v>
      </c>
      <c r="E1028" s="43"/>
      <c r="F1028" s="36">
        <v>9.35E-2</v>
      </c>
      <c r="G1028" s="36">
        <v>1.8419499999999998E-2</v>
      </c>
      <c r="H1028" s="36">
        <v>2.58E-2</v>
      </c>
      <c r="I1028" s="37">
        <v>3.8700000000000002E-3</v>
      </c>
      <c r="J1028" s="32">
        <f t="shared" si="240"/>
        <v>5.7405000000000005E-2</v>
      </c>
      <c r="K1028" s="33">
        <f t="shared" si="243"/>
        <v>8.6107500000000003E-3</v>
      </c>
      <c r="L1028" s="33"/>
      <c r="O1028" s="2">
        <f t="shared" si="244"/>
        <v>1.0750000000000001E-2</v>
      </c>
      <c r="P1028" s="2">
        <f t="shared" si="245"/>
        <v>7.74</v>
      </c>
      <c r="Q1028" s="7">
        <f t="shared" si="246"/>
        <v>35.054347826086961</v>
      </c>
      <c r="R1028" s="2">
        <v>1.2</v>
      </c>
      <c r="S1028" s="2">
        <f t="shared" si="241"/>
        <v>4.45</v>
      </c>
      <c r="T1028" s="2"/>
      <c r="U1028" s="2"/>
      <c r="Y1028" s="8">
        <f t="shared" si="242"/>
        <v>1.2479347826086957</v>
      </c>
    </row>
    <row r="1029" spans="1:25" x14ac:dyDescent="0.25">
      <c r="A1029" s="34">
        <f t="shared" si="254"/>
        <v>1021</v>
      </c>
      <c r="B1029" s="35">
        <f t="shared" si="254"/>
        <v>132</v>
      </c>
      <c r="C1029" s="40" t="s">
        <v>275</v>
      </c>
      <c r="D1029" s="44" t="s">
        <v>281</v>
      </c>
      <c r="E1029" s="43"/>
      <c r="F1029" s="36">
        <v>9.35E-2</v>
      </c>
      <c r="G1029" s="36">
        <v>1.8419499999999998E-2</v>
      </c>
      <c r="H1029" s="36">
        <v>2.6499999999999999E-2</v>
      </c>
      <c r="I1029" s="37">
        <v>3.9750000000000002E-3</v>
      </c>
      <c r="J1029" s="32">
        <f t="shared" si="240"/>
        <v>5.8962500000000001E-2</v>
      </c>
      <c r="K1029" s="33">
        <f t="shared" si="243"/>
        <v>8.8443749999999998E-3</v>
      </c>
      <c r="L1029" s="33"/>
      <c r="O1029" s="2">
        <f t="shared" si="244"/>
        <v>1.1041666666666667E-2</v>
      </c>
      <c r="P1029" s="2">
        <f t="shared" si="245"/>
        <v>7.95</v>
      </c>
      <c r="Q1029" s="7">
        <f t="shared" si="246"/>
        <v>36.005434782608695</v>
      </c>
      <c r="R1029" s="2">
        <v>1.2</v>
      </c>
      <c r="S1029" s="2">
        <f t="shared" si="241"/>
        <v>4.45</v>
      </c>
      <c r="T1029" s="2"/>
      <c r="U1029" s="2"/>
      <c r="Y1029" s="8">
        <f t="shared" si="242"/>
        <v>1.2817934782608695</v>
      </c>
    </row>
    <row r="1030" spans="1:25" x14ac:dyDescent="0.25">
      <c r="A1030" s="34">
        <f t="shared" si="254"/>
        <v>1022</v>
      </c>
      <c r="B1030" s="35">
        <f t="shared" si="254"/>
        <v>133</v>
      </c>
      <c r="C1030" s="40" t="s">
        <v>275</v>
      </c>
      <c r="D1030" s="41" t="s">
        <v>282</v>
      </c>
      <c r="E1030" s="35"/>
      <c r="F1030" s="36">
        <v>0.317</v>
      </c>
      <c r="G1030" s="36">
        <f>F1030*0.197</f>
        <v>6.2449000000000005E-2</v>
      </c>
      <c r="H1030" s="36">
        <v>8.6800000000000002E-2</v>
      </c>
      <c r="I1030" s="37">
        <f>H1030*0.15</f>
        <v>1.302E-2</v>
      </c>
      <c r="J1030" s="32">
        <f t="shared" si="240"/>
        <v>0.19313000000000002</v>
      </c>
      <c r="K1030" s="33">
        <f t="shared" si="243"/>
        <v>2.8969500000000002E-2</v>
      </c>
      <c r="L1030" s="33"/>
      <c r="O1030" s="2">
        <f t="shared" si="244"/>
        <v>3.6166666666666666E-2</v>
      </c>
      <c r="P1030" s="2">
        <f t="shared" si="245"/>
        <v>26.04</v>
      </c>
      <c r="Q1030" s="7">
        <f t="shared" si="246"/>
        <v>117.93478260869566</v>
      </c>
      <c r="R1030" s="2">
        <v>1.2</v>
      </c>
      <c r="S1030" s="2">
        <f t="shared" si="241"/>
        <v>4.45</v>
      </c>
      <c r="T1030" s="2"/>
      <c r="U1030" s="2"/>
      <c r="Y1030" s="8">
        <f t="shared" si="242"/>
        <v>4.1984782608695657</v>
      </c>
    </row>
    <row r="1031" spans="1:25" x14ac:dyDescent="0.25">
      <c r="A1031" s="34">
        <f t="shared" si="254"/>
        <v>1023</v>
      </c>
      <c r="B1031" s="35">
        <f t="shared" si="254"/>
        <v>134</v>
      </c>
      <c r="C1031" s="40" t="s">
        <v>275</v>
      </c>
      <c r="D1031" s="44" t="s">
        <v>48</v>
      </c>
      <c r="E1031" s="43">
        <v>1</v>
      </c>
      <c r="F1031" s="36">
        <v>0.28599999999999998</v>
      </c>
      <c r="G1031" s="36">
        <v>5.6342000000000003E-2</v>
      </c>
      <c r="H1031" s="36">
        <v>0.1115</v>
      </c>
      <c r="I1031" s="37">
        <v>1.6725E-2</v>
      </c>
      <c r="J1031" s="32">
        <f t="shared" si="240"/>
        <v>0.20627500000000001</v>
      </c>
      <c r="K1031" s="33">
        <f t="shared" si="243"/>
        <v>3.094125E-2</v>
      </c>
      <c r="L1031" s="33"/>
      <c r="O1031" s="2">
        <f t="shared" si="244"/>
        <v>4.6458333333333338E-2</v>
      </c>
      <c r="P1031" s="2">
        <f t="shared" si="245"/>
        <v>33.450000000000003</v>
      </c>
      <c r="Q1031" s="7">
        <f t="shared" si="246"/>
        <v>151.49456521739131</v>
      </c>
      <c r="R1031" s="2">
        <v>1.2</v>
      </c>
      <c r="S1031" s="2">
        <f t="shared" si="241"/>
        <v>3.7</v>
      </c>
      <c r="T1031" s="2"/>
      <c r="U1031" s="2"/>
      <c r="Y1031" s="8">
        <f t="shared" si="242"/>
        <v>4.4842391304347826</v>
      </c>
    </row>
    <row r="1032" spans="1:25" x14ac:dyDescent="0.25">
      <c r="A1032" s="34">
        <f t="shared" si="254"/>
        <v>1024</v>
      </c>
      <c r="B1032" s="35">
        <f t="shared" si="254"/>
        <v>135</v>
      </c>
      <c r="C1032" s="40" t="s">
        <v>275</v>
      </c>
      <c r="D1032" s="44" t="s">
        <v>48</v>
      </c>
      <c r="E1032" s="43">
        <v>2</v>
      </c>
      <c r="F1032" s="36">
        <v>0.28599999999999998</v>
      </c>
      <c r="G1032" s="36">
        <v>5.6342000000000003E-2</v>
      </c>
      <c r="H1032" s="36">
        <v>0.1115</v>
      </c>
      <c r="I1032" s="37">
        <v>1.6725E-2</v>
      </c>
      <c r="J1032" s="32">
        <f t="shared" si="240"/>
        <v>0.20627500000000001</v>
      </c>
      <c r="K1032" s="33">
        <f t="shared" si="243"/>
        <v>3.094125E-2</v>
      </c>
      <c r="L1032" s="33"/>
      <c r="O1032" s="2">
        <f t="shared" si="244"/>
        <v>4.6458333333333338E-2</v>
      </c>
      <c r="P1032" s="2">
        <f t="shared" si="245"/>
        <v>33.450000000000003</v>
      </c>
      <c r="Q1032" s="7">
        <f t="shared" si="246"/>
        <v>151.49456521739131</v>
      </c>
      <c r="R1032" s="2">
        <v>1.2</v>
      </c>
      <c r="S1032" s="2">
        <f t="shared" si="241"/>
        <v>3.7</v>
      </c>
      <c r="T1032" s="2"/>
      <c r="U1032" s="2"/>
      <c r="Y1032" s="8">
        <f t="shared" si="242"/>
        <v>4.4842391304347826</v>
      </c>
    </row>
    <row r="1033" spans="1:25" x14ac:dyDescent="0.25">
      <c r="A1033" s="34">
        <f t="shared" si="254"/>
        <v>1025</v>
      </c>
      <c r="B1033" s="35">
        <f t="shared" si="254"/>
        <v>136</v>
      </c>
      <c r="C1033" s="40" t="s">
        <v>275</v>
      </c>
      <c r="D1033" s="44" t="s">
        <v>283</v>
      </c>
      <c r="E1033" s="43"/>
      <c r="F1033" s="36">
        <v>0.17280000000000001</v>
      </c>
      <c r="G1033" s="36">
        <v>3.4041599999999998E-2</v>
      </c>
      <c r="H1033" s="36">
        <v>6.9199999999999998E-2</v>
      </c>
      <c r="I1033" s="37">
        <v>1.038E-2</v>
      </c>
      <c r="J1033" s="32">
        <f t="shared" ref="J1033:J1096" si="255">O1033*R1033*S1033</f>
        <v>0.15397</v>
      </c>
      <c r="K1033" s="33">
        <f t="shared" si="243"/>
        <v>2.3095499999999998E-2</v>
      </c>
      <c r="L1033" s="33"/>
      <c r="O1033" s="2">
        <f t="shared" si="244"/>
        <v>2.8833333333333332E-2</v>
      </c>
      <c r="P1033" s="2">
        <f t="shared" si="245"/>
        <v>20.759999999999998</v>
      </c>
      <c r="Q1033" s="7">
        <f t="shared" si="246"/>
        <v>94.021739130434781</v>
      </c>
      <c r="R1033" s="2">
        <v>1.2</v>
      </c>
      <c r="S1033" s="2">
        <f t="shared" ref="S1033:S1096" si="256">IF(Q1033&lt;=$AE$6,$AF$6,IF(Q1033&lt;=$AE$7,$AF$7,IF(Q1033&lt;=$AE$8,$AF$8,IF(Q1033&lt;=$AE$9,$AF$9,IF(Q1033&lt;=$AE$10,$AF$10,0)))))</f>
        <v>4.45</v>
      </c>
      <c r="T1033" s="2"/>
      <c r="U1033" s="2"/>
      <c r="Y1033" s="8">
        <f t="shared" ref="Y1033:Y1096" si="257">J1033/46*1000</f>
        <v>3.3471739130434783</v>
      </c>
    </row>
    <row r="1034" spans="1:25" x14ac:dyDescent="0.25">
      <c r="A1034" s="34">
        <f>A1033+1</f>
        <v>1026</v>
      </c>
      <c r="B1034" s="35">
        <f t="shared" si="254"/>
        <v>137</v>
      </c>
      <c r="C1034" s="40" t="s">
        <v>275</v>
      </c>
      <c r="D1034" s="44" t="s">
        <v>284</v>
      </c>
      <c r="E1034" s="43"/>
      <c r="F1034" s="36">
        <v>0.17180000000000001</v>
      </c>
      <c r="G1034" s="36">
        <v>3.3844600000000002E-2</v>
      </c>
      <c r="H1034" s="36">
        <v>6.1800000000000001E-2</v>
      </c>
      <c r="I1034" s="37">
        <v>9.2700000000000005E-3</v>
      </c>
      <c r="J1034" s="32">
        <f t="shared" si="255"/>
        <v>0.13750500000000002</v>
      </c>
      <c r="K1034" s="33">
        <f t="shared" ref="K1034:K1097" si="258">J1034*0.15</f>
        <v>2.0625750000000002E-2</v>
      </c>
      <c r="L1034" s="33"/>
      <c r="O1034" s="2">
        <f t="shared" si="244"/>
        <v>2.5750000000000002E-2</v>
      </c>
      <c r="P1034" s="2">
        <f t="shared" si="245"/>
        <v>18.540000000000003</v>
      </c>
      <c r="Q1034" s="7">
        <f t="shared" si="246"/>
        <v>83.967391304347842</v>
      </c>
      <c r="R1034" s="2">
        <v>1.2</v>
      </c>
      <c r="S1034" s="2">
        <f t="shared" si="256"/>
        <v>4.45</v>
      </c>
      <c r="T1034" s="2"/>
      <c r="U1034" s="2"/>
      <c r="Y1034" s="8">
        <f t="shared" si="257"/>
        <v>2.989239130434783</v>
      </c>
    </row>
    <row r="1035" spans="1:25" x14ac:dyDescent="0.25">
      <c r="A1035" s="34">
        <f t="shared" ref="A1035:B1050" si="259">A1034+1</f>
        <v>1027</v>
      </c>
      <c r="B1035" s="35">
        <f t="shared" si="259"/>
        <v>138</v>
      </c>
      <c r="C1035" s="40" t="s">
        <v>275</v>
      </c>
      <c r="D1035" s="41" t="s">
        <v>50</v>
      </c>
      <c r="E1035" s="35"/>
      <c r="F1035" s="36">
        <v>0.28139999999999998</v>
      </c>
      <c r="G1035" s="36">
        <f>F1035*0.197</f>
        <v>5.54358E-2</v>
      </c>
      <c r="H1035" s="36">
        <v>0.1361</v>
      </c>
      <c r="I1035" s="37">
        <f>H1035*0.15</f>
        <v>2.0414999999999999E-2</v>
      </c>
      <c r="J1035" s="32">
        <f t="shared" si="255"/>
        <v>0.25178500000000004</v>
      </c>
      <c r="K1035" s="33">
        <f t="shared" si="258"/>
        <v>3.7767750000000003E-2</v>
      </c>
      <c r="L1035" s="33"/>
      <c r="O1035" s="2">
        <f t="shared" ref="O1035:O1098" si="260">H1035/2.4</f>
        <v>5.6708333333333333E-2</v>
      </c>
      <c r="P1035" s="2">
        <f t="shared" ref="P1035:P1098" si="261">O1035*24*30</f>
        <v>40.83</v>
      </c>
      <c r="Q1035" s="7">
        <f t="shared" ref="Q1035:Q1098" si="262">P1035/0.2208</f>
        <v>184.91847826086956</v>
      </c>
      <c r="R1035" s="2">
        <v>1.2</v>
      </c>
      <c r="S1035" s="2">
        <f t="shared" si="256"/>
        <v>3.7</v>
      </c>
      <c r="T1035" s="2"/>
      <c r="U1035" s="2"/>
      <c r="Y1035" s="8">
        <f t="shared" si="257"/>
        <v>5.4735869565217401</v>
      </c>
    </row>
    <row r="1036" spans="1:25" x14ac:dyDescent="0.25">
      <c r="A1036" s="34">
        <f t="shared" si="259"/>
        <v>1028</v>
      </c>
      <c r="B1036" s="35">
        <f t="shared" si="259"/>
        <v>139</v>
      </c>
      <c r="C1036" s="40" t="s">
        <v>275</v>
      </c>
      <c r="D1036" s="44" t="s">
        <v>285</v>
      </c>
      <c r="E1036" s="43"/>
      <c r="F1036" s="36">
        <v>9.7799999999999998E-2</v>
      </c>
      <c r="G1036" s="36">
        <v>1.9266599999999998E-2</v>
      </c>
      <c r="H1036" s="36">
        <v>4.2000000000000003E-2</v>
      </c>
      <c r="I1036" s="37">
        <v>6.3E-3</v>
      </c>
      <c r="J1036" s="32">
        <f t="shared" si="255"/>
        <v>9.3450000000000005E-2</v>
      </c>
      <c r="K1036" s="33">
        <f t="shared" si="258"/>
        <v>1.40175E-2</v>
      </c>
      <c r="L1036" s="33"/>
      <c r="O1036" s="2">
        <f t="shared" si="260"/>
        <v>1.7500000000000002E-2</v>
      </c>
      <c r="P1036" s="2">
        <f t="shared" si="261"/>
        <v>12.600000000000001</v>
      </c>
      <c r="Q1036" s="7">
        <f t="shared" si="262"/>
        <v>57.065217391304358</v>
      </c>
      <c r="R1036" s="2">
        <v>1.2</v>
      </c>
      <c r="S1036" s="2">
        <f t="shared" si="256"/>
        <v>4.45</v>
      </c>
      <c r="T1036" s="2"/>
      <c r="U1036" s="2"/>
      <c r="Y1036" s="8">
        <f t="shared" si="257"/>
        <v>2.0315217391304348</v>
      </c>
    </row>
    <row r="1037" spans="1:25" x14ac:dyDescent="0.25">
      <c r="A1037" s="34">
        <f t="shared" si="259"/>
        <v>1029</v>
      </c>
      <c r="B1037" s="35">
        <f t="shared" si="259"/>
        <v>140</v>
      </c>
      <c r="C1037" s="40" t="s">
        <v>275</v>
      </c>
      <c r="D1037" s="44" t="s">
        <v>286</v>
      </c>
      <c r="E1037" s="43"/>
      <c r="F1037" s="36">
        <v>0.1731</v>
      </c>
      <c r="G1037" s="36">
        <v>3.4100699999999998E-2</v>
      </c>
      <c r="H1037" s="36">
        <v>7.7299999999999994E-2</v>
      </c>
      <c r="I1037" s="37">
        <v>6.3E-3</v>
      </c>
      <c r="J1037" s="32">
        <f t="shared" si="255"/>
        <v>0.17199249999999999</v>
      </c>
      <c r="K1037" s="33">
        <f t="shared" si="258"/>
        <v>2.5798874999999999E-2</v>
      </c>
      <c r="L1037" s="33"/>
      <c r="O1037" s="2">
        <f t="shared" si="260"/>
        <v>3.2208333333333332E-2</v>
      </c>
      <c r="P1037" s="2">
        <f t="shared" si="261"/>
        <v>23.189999999999998</v>
      </c>
      <c r="Q1037" s="7">
        <f t="shared" si="262"/>
        <v>105.02717391304347</v>
      </c>
      <c r="R1037" s="2">
        <v>1.2</v>
      </c>
      <c r="S1037" s="2">
        <f t="shared" si="256"/>
        <v>4.45</v>
      </c>
      <c r="T1037" s="2"/>
      <c r="U1037" s="2"/>
      <c r="Y1037" s="8">
        <f t="shared" si="257"/>
        <v>3.7389673913043477</v>
      </c>
    </row>
    <row r="1038" spans="1:25" x14ac:dyDescent="0.25">
      <c r="A1038" s="34">
        <f t="shared" si="259"/>
        <v>1030</v>
      </c>
      <c r="B1038" s="35">
        <f t="shared" si="259"/>
        <v>141</v>
      </c>
      <c r="C1038" s="40" t="s">
        <v>275</v>
      </c>
      <c r="D1038" s="41" t="s">
        <v>51</v>
      </c>
      <c r="E1038" s="35"/>
      <c r="F1038" s="36">
        <v>0.16320000000000001</v>
      </c>
      <c r="G1038" s="36">
        <f>F1038*0.197</f>
        <v>3.2150400000000003E-2</v>
      </c>
      <c r="H1038" s="36">
        <v>6.1800000000000001E-2</v>
      </c>
      <c r="I1038" s="37">
        <f t="shared" ref="I1038:I1043" si="263">H1038*0.15</f>
        <v>9.2700000000000005E-3</v>
      </c>
      <c r="J1038" s="32">
        <f t="shared" si="255"/>
        <v>0.13750500000000002</v>
      </c>
      <c r="K1038" s="33">
        <f t="shared" si="258"/>
        <v>2.0625750000000002E-2</v>
      </c>
      <c r="L1038" s="33"/>
      <c r="O1038" s="2">
        <f t="shared" si="260"/>
        <v>2.5750000000000002E-2</v>
      </c>
      <c r="P1038" s="2">
        <f t="shared" si="261"/>
        <v>18.540000000000003</v>
      </c>
      <c r="Q1038" s="7">
        <f t="shared" si="262"/>
        <v>83.967391304347842</v>
      </c>
      <c r="R1038" s="2">
        <v>1.2</v>
      </c>
      <c r="S1038" s="2">
        <f t="shared" si="256"/>
        <v>4.45</v>
      </c>
      <c r="T1038" s="2"/>
      <c r="U1038" s="2"/>
      <c r="Y1038" s="8">
        <f t="shared" si="257"/>
        <v>2.989239130434783</v>
      </c>
    </row>
    <row r="1039" spans="1:25" x14ac:dyDescent="0.25">
      <c r="A1039" s="34">
        <f t="shared" si="259"/>
        <v>1031</v>
      </c>
      <c r="B1039" s="35">
        <f t="shared" si="259"/>
        <v>142</v>
      </c>
      <c r="C1039" s="40" t="s">
        <v>275</v>
      </c>
      <c r="D1039" s="44" t="s">
        <v>287</v>
      </c>
      <c r="E1039" s="43"/>
      <c r="F1039" s="36">
        <v>9.35E-2</v>
      </c>
      <c r="G1039" s="36">
        <v>1.8419499999999998E-2</v>
      </c>
      <c r="H1039" s="36">
        <v>2.1399999999999999E-2</v>
      </c>
      <c r="I1039" s="37">
        <f t="shared" si="263"/>
        <v>3.2099999999999997E-3</v>
      </c>
      <c r="J1039" s="32">
        <f t="shared" si="255"/>
        <v>4.7614999999999998E-2</v>
      </c>
      <c r="K1039" s="33">
        <f t="shared" si="258"/>
        <v>7.1422499999999993E-3</v>
      </c>
      <c r="L1039" s="33"/>
      <c r="O1039" s="2">
        <f t="shared" si="260"/>
        <v>8.9166666666666665E-3</v>
      </c>
      <c r="P1039" s="2">
        <f t="shared" si="261"/>
        <v>6.42</v>
      </c>
      <c r="Q1039" s="7">
        <f t="shared" si="262"/>
        <v>29.076086956521738</v>
      </c>
      <c r="R1039" s="2">
        <v>1.2</v>
      </c>
      <c r="S1039" s="2">
        <f t="shared" si="256"/>
        <v>4.45</v>
      </c>
      <c r="T1039" s="2"/>
      <c r="U1039" s="2"/>
      <c r="Y1039" s="8">
        <f t="shared" si="257"/>
        <v>1.035108695652174</v>
      </c>
    </row>
    <row r="1040" spans="1:25" x14ac:dyDescent="0.25">
      <c r="A1040" s="34">
        <f t="shared" si="259"/>
        <v>1032</v>
      </c>
      <c r="B1040" s="35">
        <f t="shared" si="259"/>
        <v>143</v>
      </c>
      <c r="C1040" s="40" t="s">
        <v>275</v>
      </c>
      <c r="D1040" s="44" t="s">
        <v>288</v>
      </c>
      <c r="E1040" s="43"/>
      <c r="F1040" s="36">
        <v>9.35E-2</v>
      </c>
      <c r="G1040" s="36">
        <v>1.8419499999999998E-2</v>
      </c>
      <c r="H1040" s="36">
        <v>2.6499999999999999E-2</v>
      </c>
      <c r="I1040" s="37">
        <f t="shared" si="263"/>
        <v>3.9749999999999994E-3</v>
      </c>
      <c r="J1040" s="32">
        <f t="shared" si="255"/>
        <v>5.8962500000000001E-2</v>
      </c>
      <c r="K1040" s="33">
        <f t="shared" si="258"/>
        <v>8.8443749999999998E-3</v>
      </c>
      <c r="L1040" s="33"/>
      <c r="O1040" s="2">
        <f t="shared" si="260"/>
        <v>1.1041666666666667E-2</v>
      </c>
      <c r="P1040" s="2">
        <f t="shared" si="261"/>
        <v>7.95</v>
      </c>
      <c r="Q1040" s="7">
        <f t="shared" si="262"/>
        <v>36.005434782608695</v>
      </c>
      <c r="R1040" s="2">
        <v>1.2</v>
      </c>
      <c r="S1040" s="2">
        <f t="shared" si="256"/>
        <v>4.45</v>
      </c>
      <c r="T1040" s="2"/>
      <c r="U1040" s="2"/>
      <c r="Y1040" s="8">
        <f t="shared" si="257"/>
        <v>1.2817934782608695</v>
      </c>
    </row>
    <row r="1041" spans="1:25" x14ac:dyDescent="0.25">
      <c r="A1041" s="34">
        <f t="shared" si="259"/>
        <v>1033</v>
      </c>
      <c r="B1041" s="35">
        <f t="shared" si="259"/>
        <v>144</v>
      </c>
      <c r="C1041" s="40" t="s">
        <v>275</v>
      </c>
      <c r="D1041" s="44" t="s">
        <v>145</v>
      </c>
      <c r="E1041" s="43"/>
      <c r="F1041" s="36">
        <v>0.1736</v>
      </c>
      <c r="G1041" s="36">
        <v>3.4199199999999999E-2</v>
      </c>
      <c r="H1041" s="36">
        <v>7.2099999999999997E-2</v>
      </c>
      <c r="I1041" s="37">
        <f t="shared" si="263"/>
        <v>1.0815E-2</v>
      </c>
      <c r="J1041" s="32">
        <f t="shared" si="255"/>
        <v>0.1604225</v>
      </c>
      <c r="K1041" s="33">
        <f t="shared" si="258"/>
        <v>2.4063374999999998E-2</v>
      </c>
      <c r="L1041" s="33"/>
      <c r="O1041" s="2">
        <f t="shared" si="260"/>
        <v>3.0041666666666668E-2</v>
      </c>
      <c r="P1041" s="2">
        <f t="shared" si="261"/>
        <v>21.630000000000003</v>
      </c>
      <c r="Q1041" s="7">
        <f t="shared" si="262"/>
        <v>97.96195652173914</v>
      </c>
      <c r="R1041" s="2">
        <v>1.2</v>
      </c>
      <c r="S1041" s="2">
        <f t="shared" si="256"/>
        <v>4.45</v>
      </c>
      <c r="T1041" s="2"/>
      <c r="U1041" s="2"/>
      <c r="Y1041" s="8">
        <f t="shared" si="257"/>
        <v>3.4874456521739132</v>
      </c>
    </row>
    <row r="1042" spans="1:25" x14ac:dyDescent="0.25">
      <c r="A1042" s="34">
        <f t="shared" si="259"/>
        <v>1034</v>
      </c>
      <c r="B1042" s="35">
        <f t="shared" si="259"/>
        <v>145</v>
      </c>
      <c r="C1042" s="40" t="s">
        <v>275</v>
      </c>
      <c r="D1042" s="44" t="s">
        <v>52</v>
      </c>
      <c r="E1042" s="43"/>
      <c r="F1042" s="36">
        <v>8.48E-2</v>
      </c>
      <c r="G1042" s="36">
        <v>1.6705600000000001E-2</v>
      </c>
      <c r="H1042" s="36">
        <v>3.5299999999999998E-2</v>
      </c>
      <c r="I1042" s="37">
        <f t="shared" si="263"/>
        <v>5.2949999999999994E-3</v>
      </c>
      <c r="J1042" s="32">
        <f t="shared" si="255"/>
        <v>7.8542500000000001E-2</v>
      </c>
      <c r="K1042" s="33">
        <f t="shared" si="258"/>
        <v>1.1781375E-2</v>
      </c>
      <c r="L1042" s="33"/>
      <c r="O1042" s="2">
        <f t="shared" si="260"/>
        <v>1.4708333333333334E-2</v>
      </c>
      <c r="P1042" s="2">
        <f t="shared" si="261"/>
        <v>10.59</v>
      </c>
      <c r="Q1042" s="7">
        <f t="shared" si="262"/>
        <v>47.961956521739133</v>
      </c>
      <c r="R1042" s="2">
        <v>1.2</v>
      </c>
      <c r="S1042" s="2">
        <f t="shared" si="256"/>
        <v>4.45</v>
      </c>
      <c r="T1042" s="2"/>
      <c r="U1042" s="2"/>
      <c r="Y1042" s="8">
        <f t="shared" si="257"/>
        <v>1.7074456521739132</v>
      </c>
    </row>
    <row r="1043" spans="1:25" x14ac:dyDescent="0.25">
      <c r="A1043" s="34">
        <f t="shared" si="259"/>
        <v>1035</v>
      </c>
      <c r="B1043" s="35">
        <f t="shared" si="259"/>
        <v>146</v>
      </c>
      <c r="C1043" s="40" t="s">
        <v>275</v>
      </c>
      <c r="D1043" s="44" t="s">
        <v>289</v>
      </c>
      <c r="E1043" s="43"/>
      <c r="F1043" s="36">
        <v>0.16370000000000001</v>
      </c>
      <c r="G1043" s="36">
        <v>3.2248899999999997E-2</v>
      </c>
      <c r="H1043" s="36">
        <v>7.4999999999999997E-2</v>
      </c>
      <c r="I1043" s="37">
        <f t="shared" si="263"/>
        <v>1.125E-2</v>
      </c>
      <c r="J1043" s="32">
        <f t="shared" si="255"/>
        <v>0.166875</v>
      </c>
      <c r="K1043" s="33">
        <f t="shared" si="258"/>
        <v>2.5031249999999998E-2</v>
      </c>
      <c r="L1043" s="33"/>
      <c r="O1043" s="2">
        <f t="shared" si="260"/>
        <v>3.125E-2</v>
      </c>
      <c r="P1043" s="2">
        <f t="shared" si="261"/>
        <v>22.5</v>
      </c>
      <c r="Q1043" s="7">
        <f t="shared" si="262"/>
        <v>101.90217391304348</v>
      </c>
      <c r="R1043" s="2">
        <v>1.2</v>
      </c>
      <c r="S1043" s="2">
        <f t="shared" si="256"/>
        <v>4.45</v>
      </c>
      <c r="T1043" s="2"/>
      <c r="U1043" s="2"/>
      <c r="Y1043" s="8">
        <f t="shared" si="257"/>
        <v>3.6277173913043477</v>
      </c>
    </row>
    <row r="1044" spans="1:25" x14ac:dyDescent="0.25">
      <c r="A1044" s="34">
        <f t="shared" si="259"/>
        <v>1036</v>
      </c>
      <c r="B1044" s="35">
        <f t="shared" si="259"/>
        <v>147</v>
      </c>
      <c r="C1044" s="40" t="s">
        <v>275</v>
      </c>
      <c r="D1044" s="44" t="s">
        <v>88</v>
      </c>
      <c r="E1044" s="43"/>
      <c r="F1044" s="36">
        <v>8.4599999999999995E-2</v>
      </c>
      <c r="G1044" s="36">
        <v>1.6666199999999999E-2</v>
      </c>
      <c r="H1044" s="36">
        <v>2.35E-2</v>
      </c>
      <c r="I1044" s="37">
        <v>3.5249999999999999E-3</v>
      </c>
      <c r="J1044" s="32">
        <f t="shared" si="255"/>
        <v>5.2287500000000001E-2</v>
      </c>
      <c r="K1044" s="33">
        <f t="shared" si="258"/>
        <v>7.8431249999999994E-3</v>
      </c>
      <c r="L1044" s="33"/>
      <c r="O1044" s="2">
        <f t="shared" si="260"/>
        <v>9.7916666666666673E-3</v>
      </c>
      <c r="P1044" s="2">
        <f t="shared" si="261"/>
        <v>7.0500000000000007</v>
      </c>
      <c r="Q1044" s="7">
        <f t="shared" si="262"/>
        <v>31.929347826086961</v>
      </c>
      <c r="R1044" s="2">
        <v>1.2</v>
      </c>
      <c r="S1044" s="2">
        <f t="shared" si="256"/>
        <v>4.45</v>
      </c>
      <c r="T1044" s="2"/>
      <c r="U1044" s="2"/>
      <c r="Y1044" s="8">
        <f t="shared" si="257"/>
        <v>1.1366847826086957</v>
      </c>
    </row>
    <row r="1045" spans="1:25" ht="30" x14ac:dyDescent="0.25">
      <c r="A1045" s="34">
        <f t="shared" si="259"/>
        <v>1037</v>
      </c>
      <c r="B1045" s="35">
        <f t="shared" si="259"/>
        <v>148</v>
      </c>
      <c r="C1045" s="40" t="s">
        <v>275</v>
      </c>
      <c r="D1045" s="44" t="s">
        <v>290</v>
      </c>
      <c r="E1045" s="43"/>
      <c r="F1045" s="36">
        <v>9.35E-2</v>
      </c>
      <c r="G1045" s="36">
        <v>1.8419499999999998E-2</v>
      </c>
      <c r="H1045" s="36">
        <v>3.09E-2</v>
      </c>
      <c r="I1045" s="37">
        <v>4.6350000000000002E-3</v>
      </c>
      <c r="J1045" s="32">
        <f t="shared" si="255"/>
        <v>6.8752500000000008E-2</v>
      </c>
      <c r="K1045" s="33">
        <f t="shared" si="258"/>
        <v>1.0312875000000001E-2</v>
      </c>
      <c r="L1045" s="33"/>
      <c r="O1045" s="2">
        <f t="shared" si="260"/>
        <v>1.2875000000000001E-2</v>
      </c>
      <c r="P1045" s="2">
        <f t="shared" si="261"/>
        <v>9.2700000000000014</v>
      </c>
      <c r="Q1045" s="7">
        <f t="shared" si="262"/>
        <v>41.983695652173921</v>
      </c>
      <c r="R1045" s="2">
        <v>1.2</v>
      </c>
      <c r="S1045" s="2">
        <f t="shared" si="256"/>
        <v>4.45</v>
      </c>
      <c r="T1045" s="2"/>
      <c r="U1045" s="2"/>
      <c r="Y1045" s="8">
        <f t="shared" si="257"/>
        <v>1.4946195652173915</v>
      </c>
    </row>
    <row r="1046" spans="1:25" ht="30" x14ac:dyDescent="0.25">
      <c r="A1046" s="34">
        <f t="shared" si="259"/>
        <v>1038</v>
      </c>
      <c r="B1046" s="35">
        <f t="shared" si="259"/>
        <v>149</v>
      </c>
      <c r="C1046" s="40" t="s">
        <v>275</v>
      </c>
      <c r="D1046" s="44" t="s">
        <v>291</v>
      </c>
      <c r="E1046" s="43"/>
      <c r="F1046" s="36">
        <v>9.3600000000000003E-2</v>
      </c>
      <c r="G1046" s="36">
        <v>1.8439199999999999E-2</v>
      </c>
      <c r="H1046" s="36">
        <v>2.9499999999999998E-2</v>
      </c>
      <c r="I1046" s="37">
        <v>4.4250000000000001E-3</v>
      </c>
      <c r="J1046" s="32">
        <f t="shared" si="255"/>
        <v>6.5637500000000001E-2</v>
      </c>
      <c r="K1046" s="33">
        <f t="shared" si="258"/>
        <v>9.8456250000000002E-3</v>
      </c>
      <c r="L1046" s="33"/>
      <c r="O1046" s="2">
        <f t="shared" si="260"/>
        <v>1.2291666666666666E-2</v>
      </c>
      <c r="P1046" s="2">
        <f t="shared" si="261"/>
        <v>8.85</v>
      </c>
      <c r="Q1046" s="7">
        <f t="shared" si="262"/>
        <v>40.081521739130437</v>
      </c>
      <c r="R1046" s="2">
        <v>1.2</v>
      </c>
      <c r="S1046" s="2">
        <f t="shared" si="256"/>
        <v>4.45</v>
      </c>
      <c r="T1046" s="2"/>
      <c r="U1046" s="2"/>
      <c r="Y1046" s="8">
        <f t="shared" si="257"/>
        <v>1.4269021739130436</v>
      </c>
    </row>
    <row r="1047" spans="1:25" ht="30" x14ac:dyDescent="0.25">
      <c r="A1047" s="34">
        <f t="shared" si="259"/>
        <v>1039</v>
      </c>
      <c r="B1047" s="35">
        <f t="shared" si="259"/>
        <v>150</v>
      </c>
      <c r="C1047" s="40" t="s">
        <v>275</v>
      </c>
      <c r="D1047" s="44" t="s">
        <v>292</v>
      </c>
      <c r="E1047" s="43"/>
      <c r="F1047" s="36">
        <v>9.35E-2</v>
      </c>
      <c r="G1047" s="36">
        <v>1.8419499999999998E-2</v>
      </c>
      <c r="H1047" s="36">
        <v>3.0200000000000001E-2</v>
      </c>
      <c r="I1047" s="37">
        <v>4.5300000000000002E-3</v>
      </c>
      <c r="J1047" s="32">
        <f t="shared" si="255"/>
        <v>6.7194999999999991E-2</v>
      </c>
      <c r="K1047" s="33">
        <f t="shared" si="258"/>
        <v>1.0079249999999998E-2</v>
      </c>
      <c r="L1047" s="33"/>
      <c r="O1047" s="2">
        <f t="shared" si="260"/>
        <v>1.2583333333333334E-2</v>
      </c>
      <c r="P1047" s="2">
        <f t="shared" si="261"/>
        <v>9.06</v>
      </c>
      <c r="Q1047" s="7">
        <f t="shared" si="262"/>
        <v>41.032608695652179</v>
      </c>
      <c r="R1047" s="2">
        <v>1.2</v>
      </c>
      <c r="S1047" s="2">
        <f t="shared" si="256"/>
        <v>4.45</v>
      </c>
      <c r="T1047" s="2"/>
      <c r="U1047" s="2"/>
      <c r="Y1047" s="8">
        <f t="shared" si="257"/>
        <v>1.460760869565217</v>
      </c>
    </row>
    <row r="1048" spans="1:25" x14ac:dyDescent="0.25">
      <c r="A1048" s="34">
        <f t="shared" si="259"/>
        <v>1040</v>
      </c>
      <c r="B1048" s="35">
        <f t="shared" si="259"/>
        <v>151</v>
      </c>
      <c r="C1048" s="40" t="s">
        <v>275</v>
      </c>
      <c r="D1048" s="44" t="s">
        <v>54</v>
      </c>
      <c r="E1048" s="43"/>
      <c r="F1048" s="36">
        <v>8.3099999999999993E-2</v>
      </c>
      <c r="G1048" s="36">
        <v>1.6370699999999998E-2</v>
      </c>
      <c r="H1048" s="36">
        <v>2.5700000000000001E-2</v>
      </c>
      <c r="I1048" s="37">
        <v>3.8549999999999999E-3</v>
      </c>
      <c r="J1048" s="32">
        <f t="shared" si="255"/>
        <v>5.7182500000000004E-2</v>
      </c>
      <c r="K1048" s="33">
        <f t="shared" si="258"/>
        <v>8.5773749999999999E-3</v>
      </c>
      <c r="L1048" s="33"/>
      <c r="O1048" s="2">
        <f t="shared" si="260"/>
        <v>1.0708333333333334E-2</v>
      </c>
      <c r="P1048" s="2">
        <f t="shared" si="261"/>
        <v>7.71</v>
      </c>
      <c r="Q1048" s="7">
        <f t="shared" si="262"/>
        <v>34.918478260869563</v>
      </c>
      <c r="R1048" s="2">
        <v>1.2</v>
      </c>
      <c r="S1048" s="2">
        <f t="shared" si="256"/>
        <v>4.45</v>
      </c>
      <c r="T1048" s="2"/>
      <c r="U1048" s="2"/>
      <c r="Y1048" s="8">
        <f t="shared" si="257"/>
        <v>1.2430978260869565</v>
      </c>
    </row>
    <row r="1049" spans="1:25" ht="30" x14ac:dyDescent="0.25">
      <c r="A1049" s="34">
        <f t="shared" si="259"/>
        <v>1041</v>
      </c>
      <c r="B1049" s="35">
        <f t="shared" si="259"/>
        <v>152</v>
      </c>
      <c r="C1049" s="40" t="s">
        <v>275</v>
      </c>
      <c r="D1049" s="44" t="s">
        <v>293</v>
      </c>
      <c r="E1049" s="43"/>
      <c r="F1049" s="36">
        <v>9.35E-2</v>
      </c>
      <c r="G1049" s="36">
        <v>1.8419499999999998E-2</v>
      </c>
      <c r="H1049" s="36">
        <v>2.4299999999999999E-2</v>
      </c>
      <c r="I1049" s="37">
        <v>3.6449999999999998E-3</v>
      </c>
      <c r="J1049" s="32">
        <f t="shared" si="255"/>
        <v>5.4067499999999998E-2</v>
      </c>
      <c r="K1049" s="33">
        <f t="shared" si="258"/>
        <v>8.1101249999999993E-3</v>
      </c>
      <c r="L1049" s="33"/>
      <c r="O1049" s="2">
        <f t="shared" si="260"/>
        <v>1.0125E-2</v>
      </c>
      <c r="P1049" s="2">
        <f t="shared" si="261"/>
        <v>7.29</v>
      </c>
      <c r="Q1049" s="7">
        <f t="shared" si="262"/>
        <v>33.016304347826086</v>
      </c>
      <c r="R1049" s="2">
        <v>1.2</v>
      </c>
      <c r="S1049" s="2">
        <f t="shared" si="256"/>
        <v>4.45</v>
      </c>
      <c r="T1049" s="2"/>
      <c r="U1049" s="2"/>
      <c r="Y1049" s="8">
        <f t="shared" si="257"/>
        <v>1.1753804347826087</v>
      </c>
    </row>
    <row r="1050" spans="1:25" ht="30" x14ac:dyDescent="0.25">
      <c r="A1050" s="34">
        <f t="shared" si="259"/>
        <v>1042</v>
      </c>
      <c r="B1050" s="35">
        <f t="shared" si="259"/>
        <v>153</v>
      </c>
      <c r="C1050" s="40" t="s">
        <v>275</v>
      </c>
      <c r="D1050" s="44" t="s">
        <v>294</v>
      </c>
      <c r="E1050" s="43"/>
      <c r="F1050" s="36">
        <v>9.35E-2</v>
      </c>
      <c r="G1050" s="36">
        <v>1.8419499999999998E-2</v>
      </c>
      <c r="H1050" s="36">
        <v>2.9499999999999998E-2</v>
      </c>
      <c r="I1050" s="37">
        <v>4.4250000000000001E-3</v>
      </c>
      <c r="J1050" s="32">
        <f t="shared" si="255"/>
        <v>6.5637500000000001E-2</v>
      </c>
      <c r="K1050" s="33">
        <f t="shared" si="258"/>
        <v>9.8456250000000002E-3</v>
      </c>
      <c r="L1050" s="33"/>
      <c r="O1050" s="2">
        <f t="shared" si="260"/>
        <v>1.2291666666666666E-2</v>
      </c>
      <c r="P1050" s="2">
        <f t="shared" si="261"/>
        <v>8.85</v>
      </c>
      <c r="Q1050" s="7">
        <f t="shared" si="262"/>
        <v>40.081521739130437</v>
      </c>
      <c r="R1050" s="2">
        <v>1.2</v>
      </c>
      <c r="S1050" s="2">
        <f t="shared" si="256"/>
        <v>4.45</v>
      </c>
      <c r="T1050" s="2"/>
      <c r="U1050" s="2"/>
      <c r="Y1050" s="8">
        <f t="shared" si="257"/>
        <v>1.4269021739130436</v>
      </c>
    </row>
    <row r="1051" spans="1:25" x14ac:dyDescent="0.25">
      <c r="A1051" s="34">
        <f t="shared" ref="A1051:B1066" si="264">A1050+1</f>
        <v>1043</v>
      </c>
      <c r="B1051" s="35">
        <f t="shared" si="264"/>
        <v>154</v>
      </c>
      <c r="C1051" s="40" t="s">
        <v>275</v>
      </c>
      <c r="D1051" s="44" t="s">
        <v>56</v>
      </c>
      <c r="E1051" s="43"/>
      <c r="F1051" s="36">
        <v>7.9500000000000001E-2</v>
      </c>
      <c r="G1051" s="36">
        <v>1.5661499999999998E-2</v>
      </c>
      <c r="H1051" s="36">
        <v>8.5000000000000006E-2</v>
      </c>
      <c r="I1051" s="37">
        <v>1.2749999999999999E-2</v>
      </c>
      <c r="J1051" s="32">
        <f t="shared" si="255"/>
        <v>0.18912500000000002</v>
      </c>
      <c r="K1051" s="33">
        <f t="shared" si="258"/>
        <v>2.8368750000000002E-2</v>
      </c>
      <c r="L1051" s="33"/>
      <c r="O1051" s="2">
        <f t="shared" si="260"/>
        <v>3.5416666666666673E-2</v>
      </c>
      <c r="P1051" s="2">
        <f t="shared" si="261"/>
        <v>25.500000000000004</v>
      </c>
      <c r="Q1051" s="7">
        <f t="shared" si="262"/>
        <v>115.48913043478262</v>
      </c>
      <c r="R1051" s="2">
        <v>1.2</v>
      </c>
      <c r="S1051" s="2">
        <f t="shared" si="256"/>
        <v>4.45</v>
      </c>
      <c r="T1051" s="2"/>
      <c r="U1051" s="2"/>
      <c r="Y1051" s="8">
        <f t="shared" si="257"/>
        <v>4.1114130434782616</v>
      </c>
    </row>
    <row r="1052" spans="1:25" ht="30" x14ac:dyDescent="0.25">
      <c r="A1052" s="34">
        <f t="shared" si="264"/>
        <v>1044</v>
      </c>
      <c r="B1052" s="35">
        <f t="shared" si="264"/>
        <v>155</v>
      </c>
      <c r="C1052" s="40" t="s">
        <v>275</v>
      </c>
      <c r="D1052" s="44" t="s">
        <v>295</v>
      </c>
      <c r="E1052" s="43"/>
      <c r="F1052" s="36">
        <v>9.35E-2</v>
      </c>
      <c r="G1052" s="36">
        <v>1.8419499999999998E-2</v>
      </c>
      <c r="H1052" s="36">
        <v>2.6499999999999999E-2</v>
      </c>
      <c r="I1052" s="37">
        <v>3.9750000000000002E-3</v>
      </c>
      <c r="J1052" s="32">
        <f t="shared" si="255"/>
        <v>5.8962500000000001E-2</v>
      </c>
      <c r="K1052" s="33">
        <f t="shared" si="258"/>
        <v>8.8443749999999998E-3</v>
      </c>
      <c r="L1052" s="33"/>
      <c r="O1052" s="2">
        <f t="shared" si="260"/>
        <v>1.1041666666666667E-2</v>
      </c>
      <c r="P1052" s="2">
        <f t="shared" si="261"/>
        <v>7.95</v>
      </c>
      <c r="Q1052" s="7">
        <f t="shared" si="262"/>
        <v>36.005434782608695</v>
      </c>
      <c r="R1052" s="2">
        <v>1.2</v>
      </c>
      <c r="S1052" s="2">
        <f t="shared" si="256"/>
        <v>4.45</v>
      </c>
      <c r="T1052" s="2"/>
      <c r="U1052" s="2"/>
      <c r="Y1052" s="8">
        <f t="shared" si="257"/>
        <v>1.2817934782608695</v>
      </c>
    </row>
    <row r="1053" spans="1:25" ht="30" x14ac:dyDescent="0.25">
      <c r="A1053" s="34">
        <f t="shared" si="264"/>
        <v>1045</v>
      </c>
      <c r="B1053" s="35">
        <f t="shared" si="264"/>
        <v>156</v>
      </c>
      <c r="C1053" s="40" t="s">
        <v>275</v>
      </c>
      <c r="D1053" s="44" t="s">
        <v>296</v>
      </c>
      <c r="E1053" s="43"/>
      <c r="F1053" s="36">
        <v>9.35E-2</v>
      </c>
      <c r="G1053" s="36">
        <v>1.8419499999999998E-2</v>
      </c>
      <c r="H1053" s="36">
        <v>2.4299999999999999E-2</v>
      </c>
      <c r="I1053" s="37">
        <v>3.6449999999999998E-3</v>
      </c>
      <c r="J1053" s="32">
        <f t="shared" si="255"/>
        <v>5.4067499999999998E-2</v>
      </c>
      <c r="K1053" s="33">
        <f t="shared" si="258"/>
        <v>8.1101249999999993E-3</v>
      </c>
      <c r="L1053" s="33"/>
      <c r="O1053" s="2">
        <f t="shared" si="260"/>
        <v>1.0125E-2</v>
      </c>
      <c r="P1053" s="2">
        <f t="shared" si="261"/>
        <v>7.29</v>
      </c>
      <c r="Q1053" s="7">
        <f t="shared" si="262"/>
        <v>33.016304347826086</v>
      </c>
      <c r="R1053" s="2">
        <v>1.2</v>
      </c>
      <c r="S1053" s="2">
        <f t="shared" si="256"/>
        <v>4.45</v>
      </c>
      <c r="T1053" s="2"/>
      <c r="U1053" s="2"/>
      <c r="Y1053" s="8">
        <f t="shared" si="257"/>
        <v>1.1753804347826087</v>
      </c>
    </row>
    <row r="1054" spans="1:25" ht="30" x14ac:dyDescent="0.25">
      <c r="A1054" s="34">
        <f t="shared" si="264"/>
        <v>1046</v>
      </c>
      <c r="B1054" s="35">
        <f t="shared" si="264"/>
        <v>157</v>
      </c>
      <c r="C1054" s="40" t="s">
        <v>275</v>
      </c>
      <c r="D1054" s="44" t="s">
        <v>297</v>
      </c>
      <c r="E1054" s="43"/>
      <c r="F1054" s="36">
        <v>9.35E-2</v>
      </c>
      <c r="G1054" s="36">
        <v>1.8419499999999998E-2</v>
      </c>
      <c r="H1054" s="36">
        <v>3.09E-2</v>
      </c>
      <c r="I1054" s="37">
        <v>4.6350000000000002E-3</v>
      </c>
      <c r="J1054" s="32">
        <f t="shared" si="255"/>
        <v>6.8752500000000008E-2</v>
      </c>
      <c r="K1054" s="33">
        <f t="shared" si="258"/>
        <v>1.0312875000000001E-2</v>
      </c>
      <c r="L1054" s="33"/>
      <c r="O1054" s="2">
        <f t="shared" si="260"/>
        <v>1.2875000000000001E-2</v>
      </c>
      <c r="P1054" s="2">
        <f t="shared" si="261"/>
        <v>9.2700000000000014</v>
      </c>
      <c r="Q1054" s="7">
        <f t="shared" si="262"/>
        <v>41.983695652173921</v>
      </c>
      <c r="R1054" s="2">
        <v>1.2</v>
      </c>
      <c r="S1054" s="2">
        <f t="shared" si="256"/>
        <v>4.45</v>
      </c>
      <c r="T1054" s="2"/>
      <c r="U1054" s="2"/>
      <c r="Y1054" s="8">
        <f t="shared" si="257"/>
        <v>1.4946195652173915</v>
      </c>
    </row>
    <row r="1055" spans="1:25" x14ac:dyDescent="0.25">
      <c r="A1055" s="34">
        <f t="shared" si="264"/>
        <v>1047</v>
      </c>
      <c r="B1055" s="35">
        <f t="shared" si="264"/>
        <v>158</v>
      </c>
      <c r="C1055" s="40" t="s">
        <v>275</v>
      </c>
      <c r="D1055" s="44" t="s">
        <v>298</v>
      </c>
      <c r="E1055" s="43"/>
      <c r="F1055" s="36">
        <v>0.17630000000000001</v>
      </c>
      <c r="G1055" s="36">
        <v>3.4731100000000001E-2</v>
      </c>
      <c r="H1055" s="36">
        <v>6.9900000000000004E-2</v>
      </c>
      <c r="I1055" s="37">
        <v>1.0485E-2</v>
      </c>
      <c r="J1055" s="32">
        <f t="shared" si="255"/>
        <v>0.15552750000000001</v>
      </c>
      <c r="K1055" s="33">
        <f t="shared" si="258"/>
        <v>2.3329125000000003E-2</v>
      </c>
      <c r="L1055" s="33"/>
      <c r="O1055" s="2">
        <f t="shared" si="260"/>
        <v>2.9125000000000002E-2</v>
      </c>
      <c r="P1055" s="2">
        <f t="shared" si="261"/>
        <v>20.970000000000002</v>
      </c>
      <c r="Q1055" s="7">
        <f t="shared" si="262"/>
        <v>94.97282608695653</v>
      </c>
      <c r="R1055" s="2">
        <v>1.2</v>
      </c>
      <c r="S1055" s="2">
        <f t="shared" si="256"/>
        <v>4.45</v>
      </c>
      <c r="T1055" s="2"/>
      <c r="U1055" s="2"/>
      <c r="Y1055" s="8">
        <f t="shared" si="257"/>
        <v>3.3810326086956524</v>
      </c>
    </row>
    <row r="1056" spans="1:25" x14ac:dyDescent="0.25">
      <c r="A1056" s="34">
        <f t="shared" si="264"/>
        <v>1048</v>
      </c>
      <c r="B1056" s="35">
        <f t="shared" si="264"/>
        <v>159</v>
      </c>
      <c r="C1056" s="40" t="s">
        <v>275</v>
      </c>
      <c r="D1056" s="44" t="s">
        <v>57</v>
      </c>
      <c r="E1056" s="43">
        <v>1</v>
      </c>
      <c r="F1056" s="36">
        <v>0.1119</v>
      </c>
      <c r="G1056" s="36">
        <v>2.2044299999999999E-2</v>
      </c>
      <c r="H1056" s="36">
        <v>5.3999999999999999E-2</v>
      </c>
      <c r="I1056" s="37">
        <v>8.0999999999999996E-3</v>
      </c>
      <c r="J1056" s="32">
        <f t="shared" si="255"/>
        <v>0.12015000000000001</v>
      </c>
      <c r="K1056" s="33">
        <f t="shared" si="258"/>
        <v>1.80225E-2</v>
      </c>
      <c r="L1056" s="33"/>
      <c r="O1056" s="2">
        <f t="shared" si="260"/>
        <v>2.2499999999999999E-2</v>
      </c>
      <c r="P1056" s="2">
        <f t="shared" si="261"/>
        <v>16.200000000000003</v>
      </c>
      <c r="Q1056" s="7">
        <f t="shared" si="262"/>
        <v>73.369565217391312</v>
      </c>
      <c r="R1056" s="2">
        <v>1.2</v>
      </c>
      <c r="S1056" s="2">
        <f t="shared" si="256"/>
        <v>4.45</v>
      </c>
      <c r="T1056" s="2"/>
      <c r="U1056" s="2"/>
      <c r="Y1056" s="8">
        <f t="shared" si="257"/>
        <v>2.6119565217391307</v>
      </c>
    </row>
    <row r="1057" spans="1:25" x14ac:dyDescent="0.25">
      <c r="A1057" s="34">
        <f t="shared" si="264"/>
        <v>1049</v>
      </c>
      <c r="B1057" s="35">
        <f t="shared" si="264"/>
        <v>160</v>
      </c>
      <c r="C1057" s="40" t="s">
        <v>275</v>
      </c>
      <c r="D1057" s="44" t="s">
        <v>57</v>
      </c>
      <c r="E1057" s="43">
        <v>2</v>
      </c>
      <c r="F1057" s="36">
        <v>0.1154</v>
      </c>
      <c r="G1057" s="36">
        <v>2.2733799999999998E-2</v>
      </c>
      <c r="H1057" s="36">
        <v>5.57E-2</v>
      </c>
      <c r="I1057" s="37">
        <v>8.3549999999999996E-3</v>
      </c>
      <c r="J1057" s="32">
        <f t="shared" si="255"/>
        <v>0.1239325</v>
      </c>
      <c r="K1057" s="33">
        <f t="shared" si="258"/>
        <v>1.8589874999999999E-2</v>
      </c>
      <c r="L1057" s="33"/>
      <c r="O1057" s="2">
        <f t="shared" si="260"/>
        <v>2.3208333333333334E-2</v>
      </c>
      <c r="P1057" s="2">
        <f t="shared" si="261"/>
        <v>16.71</v>
      </c>
      <c r="Q1057" s="7">
        <f t="shared" si="262"/>
        <v>75.679347826086968</v>
      </c>
      <c r="R1057" s="2">
        <v>1.2</v>
      </c>
      <c r="S1057" s="2">
        <f t="shared" si="256"/>
        <v>4.45</v>
      </c>
      <c r="T1057" s="2"/>
      <c r="U1057" s="2"/>
      <c r="Y1057" s="8">
        <f t="shared" si="257"/>
        <v>2.694184782608696</v>
      </c>
    </row>
    <row r="1058" spans="1:25" x14ac:dyDescent="0.25">
      <c r="A1058" s="34">
        <f t="shared" si="264"/>
        <v>1050</v>
      </c>
      <c r="B1058" s="35">
        <f t="shared" si="264"/>
        <v>161</v>
      </c>
      <c r="C1058" s="40" t="s">
        <v>275</v>
      </c>
      <c r="D1058" s="44" t="s">
        <v>299</v>
      </c>
      <c r="E1058" s="43"/>
      <c r="F1058" s="36">
        <v>0.1734</v>
      </c>
      <c r="G1058" s="36">
        <v>3.4159799999999997E-2</v>
      </c>
      <c r="H1058" s="36">
        <v>6.8400000000000002E-2</v>
      </c>
      <c r="I1058" s="37">
        <v>1.026E-2</v>
      </c>
      <c r="J1058" s="32">
        <f t="shared" si="255"/>
        <v>0.15219000000000002</v>
      </c>
      <c r="K1058" s="33">
        <f t="shared" si="258"/>
        <v>2.2828500000000002E-2</v>
      </c>
      <c r="L1058" s="33"/>
      <c r="O1058" s="2">
        <f t="shared" si="260"/>
        <v>2.8500000000000001E-2</v>
      </c>
      <c r="P1058" s="2">
        <f t="shared" si="261"/>
        <v>20.520000000000003</v>
      </c>
      <c r="Q1058" s="7">
        <f t="shared" si="262"/>
        <v>92.93478260869567</v>
      </c>
      <c r="R1058" s="2">
        <v>1.2</v>
      </c>
      <c r="S1058" s="2">
        <f t="shared" si="256"/>
        <v>4.45</v>
      </c>
      <c r="T1058" s="2"/>
      <c r="U1058" s="2"/>
      <c r="Y1058" s="8">
        <f t="shared" si="257"/>
        <v>3.3084782608695655</v>
      </c>
    </row>
    <row r="1059" spans="1:25" x14ac:dyDescent="0.25">
      <c r="A1059" s="34">
        <f t="shared" si="264"/>
        <v>1051</v>
      </c>
      <c r="B1059" s="35">
        <f t="shared" si="264"/>
        <v>162</v>
      </c>
      <c r="C1059" s="40" t="s">
        <v>275</v>
      </c>
      <c r="D1059" s="44" t="s">
        <v>58</v>
      </c>
      <c r="E1059" s="43"/>
      <c r="F1059" s="36">
        <v>0.2225</v>
      </c>
      <c r="G1059" s="36">
        <v>4.3832500000000003E-2</v>
      </c>
      <c r="H1059" s="36">
        <v>5.8099999999999999E-2</v>
      </c>
      <c r="I1059" s="37">
        <v>8.7150000000000005E-3</v>
      </c>
      <c r="J1059" s="32">
        <f t="shared" si="255"/>
        <v>0.12927250000000001</v>
      </c>
      <c r="K1059" s="33">
        <f t="shared" si="258"/>
        <v>1.9390875000000002E-2</v>
      </c>
      <c r="L1059" s="33"/>
      <c r="O1059" s="2">
        <f t="shared" si="260"/>
        <v>2.4208333333333335E-2</v>
      </c>
      <c r="P1059" s="2">
        <f t="shared" si="261"/>
        <v>17.430000000000003</v>
      </c>
      <c r="Q1059" s="7">
        <f t="shared" si="262"/>
        <v>78.940217391304358</v>
      </c>
      <c r="R1059" s="2">
        <v>1.2</v>
      </c>
      <c r="S1059" s="2">
        <f t="shared" si="256"/>
        <v>4.45</v>
      </c>
      <c r="T1059" s="2"/>
      <c r="U1059" s="2"/>
      <c r="Y1059" s="8">
        <f t="shared" si="257"/>
        <v>2.8102717391304348</v>
      </c>
    </row>
    <row r="1060" spans="1:25" x14ac:dyDescent="0.25">
      <c r="A1060" s="34">
        <f t="shared" si="264"/>
        <v>1052</v>
      </c>
      <c r="B1060" s="35">
        <f t="shared" si="264"/>
        <v>163</v>
      </c>
      <c r="C1060" s="40" t="s">
        <v>275</v>
      </c>
      <c r="D1060" s="44" t="s">
        <v>300</v>
      </c>
      <c r="E1060" s="43"/>
      <c r="F1060" s="36">
        <v>9.7799999999999998E-2</v>
      </c>
      <c r="G1060" s="36">
        <v>1.9266599999999998E-2</v>
      </c>
      <c r="H1060" s="36">
        <v>3.9E-2</v>
      </c>
      <c r="I1060" s="37">
        <v>5.8500000000000002E-3</v>
      </c>
      <c r="J1060" s="32">
        <f t="shared" si="255"/>
        <v>8.6775000000000005E-2</v>
      </c>
      <c r="K1060" s="33">
        <f t="shared" si="258"/>
        <v>1.301625E-2</v>
      </c>
      <c r="L1060" s="33"/>
      <c r="O1060" s="2">
        <f t="shared" si="260"/>
        <v>1.6250000000000001E-2</v>
      </c>
      <c r="P1060" s="2">
        <f t="shared" si="261"/>
        <v>11.700000000000001</v>
      </c>
      <c r="Q1060" s="7">
        <f t="shared" si="262"/>
        <v>52.989130434782616</v>
      </c>
      <c r="R1060" s="2">
        <v>1.2</v>
      </c>
      <c r="S1060" s="2">
        <f t="shared" si="256"/>
        <v>4.45</v>
      </c>
      <c r="T1060" s="2"/>
      <c r="U1060" s="2"/>
      <c r="Y1060" s="8">
        <f t="shared" si="257"/>
        <v>1.8864130434782609</v>
      </c>
    </row>
    <row r="1061" spans="1:25" x14ac:dyDescent="0.25">
      <c r="A1061" s="34">
        <f t="shared" si="264"/>
        <v>1053</v>
      </c>
      <c r="B1061" s="35">
        <f t="shared" si="264"/>
        <v>164</v>
      </c>
      <c r="C1061" s="40" t="s">
        <v>275</v>
      </c>
      <c r="D1061" s="41" t="s">
        <v>94</v>
      </c>
      <c r="E1061" s="35"/>
      <c r="F1061" s="36">
        <v>0.16500000000000001</v>
      </c>
      <c r="G1061" s="36">
        <f>F1061*0.197</f>
        <v>3.2505000000000006E-2</v>
      </c>
      <c r="H1061" s="36">
        <v>5.5899999999999998E-2</v>
      </c>
      <c r="I1061" s="37">
        <f>H1061*0.15</f>
        <v>8.3850000000000001E-3</v>
      </c>
      <c r="J1061" s="32">
        <f t="shared" si="255"/>
        <v>0.1243775</v>
      </c>
      <c r="K1061" s="33">
        <f t="shared" si="258"/>
        <v>1.8656625E-2</v>
      </c>
      <c r="L1061" s="33"/>
      <c r="O1061" s="2">
        <f t="shared" si="260"/>
        <v>2.3291666666666665E-2</v>
      </c>
      <c r="P1061" s="2">
        <f t="shared" si="261"/>
        <v>16.77</v>
      </c>
      <c r="Q1061" s="7">
        <f t="shared" si="262"/>
        <v>75.951086956521735</v>
      </c>
      <c r="R1061" s="2">
        <v>1.2</v>
      </c>
      <c r="S1061" s="2">
        <f t="shared" si="256"/>
        <v>4.45</v>
      </c>
      <c r="T1061" s="2"/>
      <c r="U1061" s="2"/>
      <c r="Y1061" s="8">
        <f t="shared" si="257"/>
        <v>2.703858695652174</v>
      </c>
    </row>
    <row r="1062" spans="1:25" x14ac:dyDescent="0.25">
      <c r="A1062" s="34">
        <f t="shared" si="264"/>
        <v>1054</v>
      </c>
      <c r="B1062" s="35">
        <f t="shared" si="264"/>
        <v>165</v>
      </c>
      <c r="C1062" s="40" t="s">
        <v>275</v>
      </c>
      <c r="D1062" s="44" t="s">
        <v>301</v>
      </c>
      <c r="E1062" s="43"/>
      <c r="F1062" s="36">
        <v>0.1741</v>
      </c>
      <c r="G1062" s="36">
        <v>3.42977E-2</v>
      </c>
      <c r="H1062" s="36">
        <v>6.9900000000000004E-2</v>
      </c>
      <c r="I1062" s="37">
        <v>1.0485E-2</v>
      </c>
      <c r="J1062" s="32">
        <f t="shared" si="255"/>
        <v>0.15552750000000001</v>
      </c>
      <c r="K1062" s="33">
        <f t="shared" si="258"/>
        <v>2.3329125000000003E-2</v>
      </c>
      <c r="L1062" s="33"/>
      <c r="O1062" s="2">
        <f t="shared" si="260"/>
        <v>2.9125000000000002E-2</v>
      </c>
      <c r="P1062" s="2">
        <f t="shared" si="261"/>
        <v>20.970000000000002</v>
      </c>
      <c r="Q1062" s="7">
        <f t="shared" si="262"/>
        <v>94.97282608695653</v>
      </c>
      <c r="R1062" s="2">
        <v>1.2</v>
      </c>
      <c r="S1062" s="2">
        <f t="shared" si="256"/>
        <v>4.45</v>
      </c>
      <c r="T1062" s="2"/>
      <c r="U1062" s="2"/>
      <c r="Y1062" s="8">
        <f t="shared" si="257"/>
        <v>3.3810326086956524</v>
      </c>
    </row>
    <row r="1063" spans="1:25" x14ac:dyDescent="0.25">
      <c r="A1063" s="34">
        <f t="shared" si="264"/>
        <v>1055</v>
      </c>
      <c r="B1063" s="35">
        <f t="shared" si="264"/>
        <v>166</v>
      </c>
      <c r="C1063" s="40" t="s">
        <v>275</v>
      </c>
      <c r="D1063" s="41" t="s">
        <v>60</v>
      </c>
      <c r="E1063" s="35"/>
      <c r="F1063" s="36">
        <v>0.22770000000000001</v>
      </c>
      <c r="G1063" s="36">
        <f>F1063*0.197</f>
        <v>4.4856900000000005E-2</v>
      </c>
      <c r="H1063" s="36">
        <v>7.7499999999999999E-2</v>
      </c>
      <c r="I1063" s="37">
        <f t="shared" ref="I1063:I1069" si="265">H1063*0.15</f>
        <v>1.1625E-2</v>
      </c>
      <c r="J1063" s="32">
        <f t="shared" si="255"/>
        <v>0.17243749999999999</v>
      </c>
      <c r="K1063" s="33">
        <f t="shared" si="258"/>
        <v>2.5865625E-2</v>
      </c>
      <c r="L1063" s="33"/>
      <c r="O1063" s="2">
        <f t="shared" si="260"/>
        <v>3.229166666666667E-2</v>
      </c>
      <c r="P1063" s="2">
        <f t="shared" si="261"/>
        <v>23.250000000000004</v>
      </c>
      <c r="Q1063" s="7">
        <f t="shared" si="262"/>
        <v>105.29891304347828</v>
      </c>
      <c r="R1063" s="2">
        <v>1.2</v>
      </c>
      <c r="S1063" s="2">
        <f t="shared" si="256"/>
        <v>4.45</v>
      </c>
      <c r="T1063" s="2"/>
      <c r="U1063" s="2"/>
      <c r="Y1063" s="8">
        <f t="shared" si="257"/>
        <v>3.7486413043478262</v>
      </c>
    </row>
    <row r="1064" spans="1:25" x14ac:dyDescent="0.25">
      <c r="A1064" s="34">
        <f t="shared" si="264"/>
        <v>1056</v>
      </c>
      <c r="B1064" s="35">
        <f t="shared" si="264"/>
        <v>167</v>
      </c>
      <c r="C1064" s="40" t="s">
        <v>275</v>
      </c>
      <c r="D1064" s="44" t="s">
        <v>302</v>
      </c>
      <c r="E1064" s="43"/>
      <c r="F1064" s="36">
        <v>9.9199999999999997E-2</v>
      </c>
      <c r="G1064" s="36">
        <v>1.9542400000000001E-2</v>
      </c>
      <c r="H1064" s="36">
        <v>2.8000000000000001E-2</v>
      </c>
      <c r="I1064" s="37">
        <f t="shared" si="265"/>
        <v>4.1999999999999997E-3</v>
      </c>
      <c r="J1064" s="32">
        <f t="shared" si="255"/>
        <v>6.2300000000000001E-2</v>
      </c>
      <c r="K1064" s="33">
        <f t="shared" si="258"/>
        <v>9.3449999999999991E-3</v>
      </c>
      <c r="L1064" s="33"/>
      <c r="O1064" s="2">
        <f t="shared" si="260"/>
        <v>1.1666666666666667E-2</v>
      </c>
      <c r="P1064" s="2">
        <f t="shared" si="261"/>
        <v>8.4</v>
      </c>
      <c r="Q1064" s="7">
        <f t="shared" si="262"/>
        <v>38.04347826086957</v>
      </c>
      <c r="R1064" s="2">
        <v>1.2</v>
      </c>
      <c r="S1064" s="2">
        <f t="shared" si="256"/>
        <v>4.45</v>
      </c>
      <c r="T1064" s="2"/>
      <c r="U1064" s="2"/>
      <c r="Y1064" s="8">
        <f t="shared" si="257"/>
        <v>1.3543478260869566</v>
      </c>
    </row>
    <row r="1065" spans="1:25" x14ac:dyDescent="0.25">
      <c r="A1065" s="34">
        <f t="shared" si="264"/>
        <v>1057</v>
      </c>
      <c r="B1065" s="35">
        <f t="shared" si="264"/>
        <v>168</v>
      </c>
      <c r="C1065" s="40" t="s">
        <v>275</v>
      </c>
      <c r="D1065" s="44" t="s">
        <v>62</v>
      </c>
      <c r="E1065" s="43"/>
      <c r="F1065" s="36">
        <v>0.24490000000000001</v>
      </c>
      <c r="G1065" s="36">
        <v>4.8245299999999998E-2</v>
      </c>
      <c r="H1065" s="36">
        <v>7.4300000000000005E-2</v>
      </c>
      <c r="I1065" s="37">
        <f t="shared" si="265"/>
        <v>1.1145E-2</v>
      </c>
      <c r="J1065" s="32">
        <f t="shared" si="255"/>
        <v>0.16531750000000001</v>
      </c>
      <c r="K1065" s="33">
        <f t="shared" si="258"/>
        <v>2.4797625E-2</v>
      </c>
      <c r="L1065" s="33"/>
      <c r="O1065" s="2">
        <f t="shared" si="260"/>
        <v>3.0958333333333338E-2</v>
      </c>
      <c r="P1065" s="2">
        <f t="shared" si="261"/>
        <v>22.290000000000003</v>
      </c>
      <c r="Q1065" s="7">
        <f t="shared" si="262"/>
        <v>100.95108695652175</v>
      </c>
      <c r="R1065" s="2">
        <v>1.2</v>
      </c>
      <c r="S1065" s="2">
        <f t="shared" si="256"/>
        <v>4.45</v>
      </c>
      <c r="T1065" s="2"/>
      <c r="U1065" s="2"/>
      <c r="Y1065" s="8">
        <f t="shared" si="257"/>
        <v>3.5938586956521741</v>
      </c>
    </row>
    <row r="1066" spans="1:25" x14ac:dyDescent="0.25">
      <c r="A1066" s="34">
        <f t="shared" si="264"/>
        <v>1058</v>
      </c>
      <c r="B1066" s="35">
        <f t="shared" si="264"/>
        <v>169</v>
      </c>
      <c r="C1066" s="40" t="s">
        <v>275</v>
      </c>
      <c r="D1066" s="44" t="s">
        <v>303</v>
      </c>
      <c r="E1066" s="43"/>
      <c r="F1066" s="36">
        <v>0.1716</v>
      </c>
      <c r="G1066" s="36">
        <v>3.3805200000000001E-2</v>
      </c>
      <c r="H1066" s="36">
        <v>6.0352999999999997E-2</v>
      </c>
      <c r="I1066" s="37">
        <f t="shared" si="265"/>
        <v>9.0529499999999988E-3</v>
      </c>
      <c r="J1066" s="32">
        <f t="shared" si="255"/>
        <v>0.13428542499999999</v>
      </c>
      <c r="K1066" s="33">
        <f t="shared" si="258"/>
        <v>2.0142813749999999E-2</v>
      </c>
      <c r="L1066" s="33"/>
      <c r="O1066" s="2">
        <f t="shared" si="260"/>
        <v>2.5147083333333334E-2</v>
      </c>
      <c r="P1066" s="2">
        <f t="shared" si="261"/>
        <v>18.105900000000002</v>
      </c>
      <c r="Q1066" s="7">
        <f t="shared" si="262"/>
        <v>82.001358695652186</v>
      </c>
      <c r="R1066" s="2">
        <v>1.2</v>
      </c>
      <c r="S1066" s="2">
        <f t="shared" si="256"/>
        <v>4.45</v>
      </c>
      <c r="T1066" s="2"/>
      <c r="U1066" s="2"/>
      <c r="Y1066" s="8">
        <f t="shared" si="257"/>
        <v>2.9192483695652172</v>
      </c>
    </row>
    <row r="1067" spans="1:25" x14ac:dyDescent="0.25">
      <c r="A1067" s="34">
        <f t="shared" ref="A1067:B1082" si="266">A1066+1</f>
        <v>1059</v>
      </c>
      <c r="B1067" s="35">
        <f t="shared" si="266"/>
        <v>170</v>
      </c>
      <c r="C1067" s="40" t="s">
        <v>275</v>
      </c>
      <c r="D1067" s="41" t="s">
        <v>95</v>
      </c>
      <c r="E1067" s="35"/>
      <c r="F1067" s="36">
        <v>0.313</v>
      </c>
      <c r="G1067" s="36">
        <f>F1067*0.197</f>
        <v>6.1661000000000001E-2</v>
      </c>
      <c r="H1067" s="36">
        <v>0.1368</v>
      </c>
      <c r="I1067" s="37">
        <f t="shared" si="265"/>
        <v>2.052E-2</v>
      </c>
      <c r="J1067" s="32">
        <f t="shared" si="255"/>
        <v>0.25308000000000003</v>
      </c>
      <c r="K1067" s="33">
        <f t="shared" si="258"/>
        <v>3.7962000000000003E-2</v>
      </c>
      <c r="L1067" s="33"/>
      <c r="O1067" s="2">
        <f t="shared" si="260"/>
        <v>5.7000000000000002E-2</v>
      </c>
      <c r="P1067" s="2">
        <f t="shared" si="261"/>
        <v>41.040000000000006</v>
      </c>
      <c r="Q1067" s="7">
        <f t="shared" si="262"/>
        <v>185.86956521739134</v>
      </c>
      <c r="R1067" s="2">
        <v>1.2</v>
      </c>
      <c r="S1067" s="2">
        <f t="shared" si="256"/>
        <v>3.7</v>
      </c>
      <c r="T1067" s="2"/>
      <c r="U1067" s="2"/>
      <c r="Y1067" s="8">
        <f t="shared" si="257"/>
        <v>5.5017391304347827</v>
      </c>
    </row>
    <row r="1068" spans="1:25" x14ac:dyDescent="0.25">
      <c r="A1068" s="34">
        <f t="shared" si="266"/>
        <v>1060</v>
      </c>
      <c r="B1068" s="35">
        <f t="shared" si="266"/>
        <v>171</v>
      </c>
      <c r="C1068" s="40" t="s">
        <v>275</v>
      </c>
      <c r="D1068" s="41" t="s">
        <v>96</v>
      </c>
      <c r="E1068" s="35"/>
      <c r="F1068" s="36">
        <v>0.22770000000000001</v>
      </c>
      <c r="G1068" s="36">
        <f>F1068*0.197</f>
        <v>4.4856900000000005E-2</v>
      </c>
      <c r="H1068" s="36">
        <v>7.3599999999999999E-2</v>
      </c>
      <c r="I1068" s="37">
        <f t="shared" si="265"/>
        <v>1.1039999999999999E-2</v>
      </c>
      <c r="J1068" s="32">
        <f t="shared" si="255"/>
        <v>0.16376000000000002</v>
      </c>
      <c r="K1068" s="33">
        <f t="shared" si="258"/>
        <v>2.4564000000000002E-2</v>
      </c>
      <c r="L1068" s="33"/>
      <c r="O1068" s="2">
        <f t="shared" si="260"/>
        <v>3.0666666666666668E-2</v>
      </c>
      <c r="P1068" s="2">
        <f t="shared" si="261"/>
        <v>22.08</v>
      </c>
      <c r="Q1068" s="7">
        <f t="shared" si="262"/>
        <v>100</v>
      </c>
      <c r="R1068" s="2">
        <v>1.2</v>
      </c>
      <c r="S1068" s="2">
        <f t="shared" si="256"/>
        <v>4.45</v>
      </c>
      <c r="T1068" s="2"/>
      <c r="U1068" s="2"/>
      <c r="Y1068" s="8">
        <f t="shared" si="257"/>
        <v>3.56</v>
      </c>
    </row>
    <row r="1069" spans="1:25" x14ac:dyDescent="0.25">
      <c r="A1069" s="34">
        <f t="shared" si="266"/>
        <v>1061</v>
      </c>
      <c r="B1069" s="35">
        <f t="shared" si="266"/>
        <v>172</v>
      </c>
      <c r="C1069" s="40" t="s">
        <v>275</v>
      </c>
      <c r="D1069" s="41" t="s">
        <v>33</v>
      </c>
      <c r="E1069" s="35"/>
      <c r="F1069" s="36">
        <v>0.1648</v>
      </c>
      <c r="G1069" s="36">
        <f>F1069*0.197</f>
        <v>3.2465600000000004E-2</v>
      </c>
      <c r="H1069" s="36">
        <v>5.96E-2</v>
      </c>
      <c r="I1069" s="37">
        <f t="shared" si="265"/>
        <v>8.94E-3</v>
      </c>
      <c r="J1069" s="32">
        <f t="shared" si="255"/>
        <v>0.13261000000000001</v>
      </c>
      <c r="K1069" s="33">
        <f t="shared" si="258"/>
        <v>1.9891499999999999E-2</v>
      </c>
      <c r="L1069" s="33"/>
      <c r="O1069" s="2">
        <f t="shared" si="260"/>
        <v>2.4833333333333336E-2</v>
      </c>
      <c r="P1069" s="2">
        <f t="shared" si="261"/>
        <v>17.880000000000003</v>
      </c>
      <c r="Q1069" s="7">
        <f t="shared" si="262"/>
        <v>80.978260869565233</v>
      </c>
      <c r="R1069" s="2">
        <v>1.2</v>
      </c>
      <c r="S1069" s="2">
        <f t="shared" si="256"/>
        <v>4.45</v>
      </c>
      <c r="T1069" s="2"/>
      <c r="U1069" s="2"/>
      <c r="Y1069" s="8">
        <f t="shared" si="257"/>
        <v>2.8828260869565221</v>
      </c>
    </row>
    <row r="1070" spans="1:25" x14ac:dyDescent="0.25">
      <c r="A1070" s="34">
        <f t="shared" si="266"/>
        <v>1062</v>
      </c>
      <c r="B1070" s="35">
        <f t="shared" si="266"/>
        <v>173</v>
      </c>
      <c r="C1070" s="40" t="s">
        <v>275</v>
      </c>
      <c r="D1070" s="44" t="s">
        <v>34</v>
      </c>
      <c r="E1070" s="43"/>
      <c r="F1070" s="36">
        <v>0.2225</v>
      </c>
      <c r="G1070" s="36">
        <v>4.3832500000000003E-2</v>
      </c>
      <c r="H1070" s="36">
        <v>6.7699999999999996E-2</v>
      </c>
      <c r="I1070" s="37">
        <v>1.0155000000000001E-2</v>
      </c>
      <c r="J1070" s="32">
        <f t="shared" si="255"/>
        <v>0.1506325</v>
      </c>
      <c r="K1070" s="33">
        <f t="shared" si="258"/>
        <v>2.2594875E-2</v>
      </c>
      <c r="L1070" s="33"/>
      <c r="O1070" s="2">
        <f t="shared" si="260"/>
        <v>2.8208333333333332E-2</v>
      </c>
      <c r="P1070" s="2">
        <f t="shared" si="261"/>
        <v>20.309999999999999</v>
      </c>
      <c r="Q1070" s="7">
        <f t="shared" si="262"/>
        <v>91.983695652173907</v>
      </c>
      <c r="R1070" s="2">
        <v>1.2</v>
      </c>
      <c r="S1070" s="2">
        <f t="shared" si="256"/>
        <v>4.45</v>
      </c>
      <c r="T1070" s="2"/>
      <c r="U1070" s="2"/>
      <c r="Y1070" s="8">
        <f t="shared" si="257"/>
        <v>3.2746195652173915</v>
      </c>
    </row>
    <row r="1071" spans="1:25" x14ac:dyDescent="0.25">
      <c r="A1071" s="34">
        <f t="shared" si="266"/>
        <v>1063</v>
      </c>
      <c r="B1071" s="35">
        <f t="shared" si="266"/>
        <v>174</v>
      </c>
      <c r="C1071" s="40" t="s">
        <v>275</v>
      </c>
      <c r="D1071" s="41" t="s">
        <v>98</v>
      </c>
      <c r="E1071" s="35"/>
      <c r="F1071" s="36">
        <v>0.123</v>
      </c>
      <c r="G1071" s="36">
        <f t="shared" ref="G1071:G1079" si="267">F1071*0.197</f>
        <v>2.4230999999999999E-2</v>
      </c>
      <c r="H1071" s="36">
        <v>3.8399999999999997E-2</v>
      </c>
      <c r="I1071" s="37">
        <f t="shared" ref="I1071:I1079" si="268">H1071*0.15</f>
        <v>5.7599999999999995E-3</v>
      </c>
      <c r="J1071" s="32">
        <f t="shared" si="255"/>
        <v>8.5440000000000002E-2</v>
      </c>
      <c r="K1071" s="33">
        <f t="shared" si="258"/>
        <v>1.2815999999999999E-2</v>
      </c>
      <c r="L1071" s="33"/>
      <c r="O1071" s="2">
        <f t="shared" si="260"/>
        <v>1.6E-2</v>
      </c>
      <c r="P1071" s="2">
        <f t="shared" si="261"/>
        <v>11.52</v>
      </c>
      <c r="Q1071" s="7">
        <f t="shared" si="262"/>
        <v>52.173913043478258</v>
      </c>
      <c r="R1071" s="2">
        <v>1.2</v>
      </c>
      <c r="S1071" s="2">
        <f t="shared" si="256"/>
        <v>4.45</v>
      </c>
      <c r="T1071" s="2"/>
      <c r="U1071" s="2"/>
      <c r="Y1071" s="8">
        <f t="shared" si="257"/>
        <v>1.8573913043478261</v>
      </c>
    </row>
    <row r="1072" spans="1:25" x14ac:dyDescent="0.25">
      <c r="A1072" s="34">
        <f t="shared" si="266"/>
        <v>1064</v>
      </c>
      <c r="B1072" s="35">
        <f t="shared" si="266"/>
        <v>175</v>
      </c>
      <c r="C1072" s="40" t="s">
        <v>275</v>
      </c>
      <c r="D1072" s="41" t="s">
        <v>119</v>
      </c>
      <c r="E1072" s="35"/>
      <c r="F1072" s="36">
        <v>0.22509999999999999</v>
      </c>
      <c r="G1072" s="36">
        <f t="shared" si="267"/>
        <v>4.4344700000000001E-2</v>
      </c>
      <c r="H1072" s="36">
        <v>9.1300000000000006E-2</v>
      </c>
      <c r="I1072" s="37">
        <f t="shared" si="268"/>
        <v>1.3695000000000001E-2</v>
      </c>
      <c r="J1072" s="32">
        <f t="shared" si="255"/>
        <v>0.20314250000000003</v>
      </c>
      <c r="K1072" s="33">
        <f t="shared" si="258"/>
        <v>3.0471375000000002E-2</v>
      </c>
      <c r="L1072" s="33"/>
      <c r="O1072" s="2">
        <f t="shared" si="260"/>
        <v>3.8041666666666668E-2</v>
      </c>
      <c r="P1072" s="2">
        <f t="shared" si="261"/>
        <v>27.39</v>
      </c>
      <c r="Q1072" s="7">
        <f t="shared" si="262"/>
        <v>124.04891304347827</v>
      </c>
      <c r="R1072" s="2">
        <v>1.2</v>
      </c>
      <c r="S1072" s="2">
        <f t="shared" si="256"/>
        <v>4.45</v>
      </c>
      <c r="T1072" s="2"/>
      <c r="U1072" s="2"/>
      <c r="Y1072" s="8">
        <f t="shared" si="257"/>
        <v>4.4161413043478266</v>
      </c>
    </row>
    <row r="1073" spans="1:25" x14ac:dyDescent="0.25">
      <c r="A1073" s="34">
        <f t="shared" si="266"/>
        <v>1065</v>
      </c>
      <c r="B1073" s="35">
        <f t="shared" si="266"/>
        <v>176</v>
      </c>
      <c r="C1073" s="40" t="s">
        <v>275</v>
      </c>
      <c r="D1073" s="41" t="s">
        <v>99</v>
      </c>
      <c r="E1073" s="35"/>
      <c r="F1073" s="36">
        <v>0.16589999999999999</v>
      </c>
      <c r="G1073" s="36">
        <f t="shared" si="267"/>
        <v>3.2682299999999997E-2</v>
      </c>
      <c r="H1073" s="36">
        <v>5.8900000000000001E-2</v>
      </c>
      <c r="I1073" s="37">
        <f t="shared" si="268"/>
        <v>8.8349999999999991E-3</v>
      </c>
      <c r="J1073" s="32">
        <f t="shared" si="255"/>
        <v>0.13105249999999999</v>
      </c>
      <c r="K1073" s="33">
        <f t="shared" si="258"/>
        <v>1.9657874999999998E-2</v>
      </c>
      <c r="L1073" s="33"/>
      <c r="O1073" s="2">
        <f t="shared" si="260"/>
        <v>2.4541666666666666E-2</v>
      </c>
      <c r="P1073" s="2">
        <f t="shared" si="261"/>
        <v>17.669999999999998</v>
      </c>
      <c r="Q1073" s="7">
        <f t="shared" si="262"/>
        <v>80.02717391304347</v>
      </c>
      <c r="R1073" s="2">
        <v>1.2</v>
      </c>
      <c r="S1073" s="2">
        <f t="shared" si="256"/>
        <v>4.45</v>
      </c>
      <c r="T1073" s="2"/>
      <c r="U1073" s="2"/>
      <c r="Y1073" s="8">
        <f t="shared" si="257"/>
        <v>2.8489673913043476</v>
      </c>
    </row>
    <row r="1074" spans="1:25" x14ac:dyDescent="0.25">
      <c r="A1074" s="34">
        <f t="shared" si="266"/>
        <v>1066</v>
      </c>
      <c r="B1074" s="35">
        <f t="shared" si="266"/>
        <v>177</v>
      </c>
      <c r="C1074" s="40" t="s">
        <v>275</v>
      </c>
      <c r="D1074" s="41" t="s">
        <v>304</v>
      </c>
      <c r="E1074" s="35"/>
      <c r="F1074" s="36">
        <v>0.1744</v>
      </c>
      <c r="G1074" s="36">
        <f t="shared" si="267"/>
        <v>3.43568E-2</v>
      </c>
      <c r="H1074" s="36">
        <v>5.2200000000000003E-2</v>
      </c>
      <c r="I1074" s="37">
        <f t="shared" si="268"/>
        <v>7.8300000000000002E-3</v>
      </c>
      <c r="J1074" s="32">
        <f t="shared" si="255"/>
        <v>0.11614500000000001</v>
      </c>
      <c r="K1074" s="33">
        <f t="shared" si="258"/>
        <v>1.742175E-2</v>
      </c>
      <c r="L1074" s="33"/>
      <c r="O1074" s="2">
        <f t="shared" si="260"/>
        <v>2.1750000000000002E-2</v>
      </c>
      <c r="P1074" s="2">
        <f t="shared" si="261"/>
        <v>15.66</v>
      </c>
      <c r="Q1074" s="7">
        <f t="shared" si="262"/>
        <v>70.923913043478265</v>
      </c>
      <c r="R1074" s="2">
        <v>1.2</v>
      </c>
      <c r="S1074" s="2">
        <f t="shared" si="256"/>
        <v>4.45</v>
      </c>
      <c r="T1074" s="2"/>
      <c r="U1074" s="2"/>
      <c r="Y1074" s="8">
        <f t="shared" si="257"/>
        <v>2.5248913043478263</v>
      </c>
    </row>
    <row r="1075" spans="1:25" x14ac:dyDescent="0.25">
      <c r="A1075" s="34">
        <f t="shared" si="266"/>
        <v>1067</v>
      </c>
      <c r="B1075" s="35">
        <f t="shared" si="266"/>
        <v>178</v>
      </c>
      <c r="C1075" s="40" t="s">
        <v>275</v>
      </c>
      <c r="D1075" s="41" t="s">
        <v>305</v>
      </c>
      <c r="E1075" s="35"/>
      <c r="F1075" s="36">
        <v>0.223</v>
      </c>
      <c r="G1075" s="36">
        <f t="shared" si="267"/>
        <v>4.3931000000000005E-2</v>
      </c>
      <c r="H1075" s="36">
        <v>7.3599999999999999E-2</v>
      </c>
      <c r="I1075" s="37">
        <f t="shared" si="268"/>
        <v>1.1039999999999999E-2</v>
      </c>
      <c r="J1075" s="32">
        <f t="shared" si="255"/>
        <v>0.16376000000000002</v>
      </c>
      <c r="K1075" s="33">
        <f t="shared" si="258"/>
        <v>2.4564000000000002E-2</v>
      </c>
      <c r="L1075" s="33"/>
      <c r="O1075" s="2">
        <f t="shared" si="260"/>
        <v>3.0666666666666668E-2</v>
      </c>
      <c r="P1075" s="2">
        <f t="shared" si="261"/>
        <v>22.08</v>
      </c>
      <c r="Q1075" s="7">
        <f t="shared" si="262"/>
        <v>100</v>
      </c>
      <c r="R1075" s="2">
        <v>1.2</v>
      </c>
      <c r="S1075" s="2">
        <f t="shared" si="256"/>
        <v>4.45</v>
      </c>
      <c r="T1075" s="2"/>
      <c r="U1075" s="2"/>
      <c r="Y1075" s="8">
        <f t="shared" si="257"/>
        <v>3.56</v>
      </c>
    </row>
    <row r="1076" spans="1:25" x14ac:dyDescent="0.25">
      <c r="A1076" s="34">
        <f t="shared" si="266"/>
        <v>1068</v>
      </c>
      <c r="B1076" s="35">
        <f t="shared" si="266"/>
        <v>179</v>
      </c>
      <c r="C1076" s="40" t="s">
        <v>275</v>
      </c>
      <c r="D1076" s="41" t="s">
        <v>306</v>
      </c>
      <c r="E1076" s="35"/>
      <c r="F1076" s="36">
        <v>0.13500000000000001</v>
      </c>
      <c r="G1076" s="36">
        <f t="shared" si="267"/>
        <v>2.6595000000000004E-2</v>
      </c>
      <c r="H1076" s="36">
        <v>4.7800000000000002E-2</v>
      </c>
      <c r="I1076" s="37">
        <f t="shared" si="268"/>
        <v>7.1700000000000002E-3</v>
      </c>
      <c r="J1076" s="32">
        <f t="shared" si="255"/>
        <v>0.10635500000000001</v>
      </c>
      <c r="K1076" s="33">
        <f t="shared" si="258"/>
        <v>1.5953249999999999E-2</v>
      </c>
      <c r="L1076" s="33"/>
      <c r="O1076" s="2">
        <f t="shared" si="260"/>
        <v>1.9916666666666669E-2</v>
      </c>
      <c r="P1076" s="2">
        <f t="shared" si="261"/>
        <v>14.340000000000003</v>
      </c>
      <c r="Q1076" s="7">
        <f t="shared" si="262"/>
        <v>64.945652173913061</v>
      </c>
      <c r="R1076" s="2">
        <v>1.2</v>
      </c>
      <c r="S1076" s="2">
        <f t="shared" si="256"/>
        <v>4.45</v>
      </c>
      <c r="T1076" s="2"/>
      <c r="U1076" s="2"/>
      <c r="Y1076" s="8">
        <f t="shared" si="257"/>
        <v>2.3120652173913046</v>
      </c>
    </row>
    <row r="1077" spans="1:25" x14ac:dyDescent="0.25">
      <c r="A1077" s="34">
        <f t="shared" si="266"/>
        <v>1069</v>
      </c>
      <c r="B1077" s="35">
        <f t="shared" si="266"/>
        <v>180</v>
      </c>
      <c r="C1077" s="40" t="s">
        <v>275</v>
      </c>
      <c r="D1077" s="41" t="s">
        <v>100</v>
      </c>
      <c r="E1077" s="35"/>
      <c r="F1077" s="36">
        <v>0.123</v>
      </c>
      <c r="G1077" s="36">
        <f t="shared" si="267"/>
        <v>2.4230999999999999E-2</v>
      </c>
      <c r="H1077" s="36">
        <v>3.9E-2</v>
      </c>
      <c r="I1077" s="37">
        <f t="shared" si="268"/>
        <v>5.8500000000000002E-3</v>
      </c>
      <c r="J1077" s="32">
        <f t="shared" si="255"/>
        <v>8.6775000000000005E-2</v>
      </c>
      <c r="K1077" s="33">
        <f t="shared" si="258"/>
        <v>1.301625E-2</v>
      </c>
      <c r="L1077" s="33"/>
      <c r="O1077" s="2">
        <f t="shared" si="260"/>
        <v>1.6250000000000001E-2</v>
      </c>
      <c r="P1077" s="2">
        <f t="shared" si="261"/>
        <v>11.700000000000001</v>
      </c>
      <c r="Q1077" s="7">
        <f t="shared" si="262"/>
        <v>52.989130434782616</v>
      </c>
      <c r="R1077" s="2">
        <v>1.2</v>
      </c>
      <c r="S1077" s="2">
        <f t="shared" si="256"/>
        <v>4.45</v>
      </c>
      <c r="T1077" s="2"/>
      <c r="U1077" s="2"/>
      <c r="Y1077" s="8">
        <f t="shared" si="257"/>
        <v>1.8864130434782609</v>
      </c>
    </row>
    <row r="1078" spans="1:25" x14ac:dyDescent="0.25">
      <c r="A1078" s="34">
        <f t="shared" si="266"/>
        <v>1070</v>
      </c>
      <c r="B1078" s="35">
        <f t="shared" si="266"/>
        <v>181</v>
      </c>
      <c r="C1078" s="40" t="s">
        <v>275</v>
      </c>
      <c r="D1078" s="41" t="s">
        <v>307</v>
      </c>
      <c r="E1078" s="35"/>
      <c r="F1078" s="36">
        <v>0.223</v>
      </c>
      <c r="G1078" s="36">
        <f t="shared" si="267"/>
        <v>4.3931000000000005E-2</v>
      </c>
      <c r="H1078" s="36">
        <v>7.51E-2</v>
      </c>
      <c r="I1078" s="37">
        <f t="shared" si="268"/>
        <v>1.1264999999999999E-2</v>
      </c>
      <c r="J1078" s="32">
        <f t="shared" si="255"/>
        <v>0.16709750000000001</v>
      </c>
      <c r="K1078" s="33">
        <f t="shared" si="258"/>
        <v>2.5064625E-2</v>
      </c>
      <c r="L1078" s="33"/>
      <c r="O1078" s="2">
        <f t="shared" si="260"/>
        <v>3.1291666666666669E-2</v>
      </c>
      <c r="P1078" s="2">
        <f t="shared" si="261"/>
        <v>22.530000000000005</v>
      </c>
      <c r="Q1078" s="7">
        <f t="shared" si="262"/>
        <v>102.03804347826089</v>
      </c>
      <c r="R1078" s="2">
        <v>1.2</v>
      </c>
      <c r="S1078" s="2">
        <f t="shared" si="256"/>
        <v>4.45</v>
      </c>
      <c r="T1078" s="2"/>
      <c r="U1078" s="2"/>
      <c r="Y1078" s="8">
        <f t="shared" si="257"/>
        <v>3.6325543478260869</v>
      </c>
    </row>
    <row r="1079" spans="1:25" x14ac:dyDescent="0.25">
      <c r="A1079" s="34">
        <f t="shared" si="266"/>
        <v>1071</v>
      </c>
      <c r="B1079" s="35">
        <f t="shared" si="266"/>
        <v>182</v>
      </c>
      <c r="C1079" s="40" t="s">
        <v>275</v>
      </c>
      <c r="D1079" s="41" t="s">
        <v>308</v>
      </c>
      <c r="E1079" s="35"/>
      <c r="F1079" s="36">
        <v>0.22509999999999999</v>
      </c>
      <c r="G1079" s="36">
        <f t="shared" si="267"/>
        <v>4.4344700000000001E-2</v>
      </c>
      <c r="H1079" s="36">
        <v>8.9800000000000005E-2</v>
      </c>
      <c r="I1079" s="37">
        <f t="shared" si="268"/>
        <v>1.3470000000000001E-2</v>
      </c>
      <c r="J1079" s="32">
        <f t="shared" si="255"/>
        <v>0.19980500000000001</v>
      </c>
      <c r="K1079" s="33">
        <f t="shared" si="258"/>
        <v>2.9970750000000001E-2</v>
      </c>
      <c r="L1079" s="33"/>
      <c r="O1079" s="2">
        <f t="shared" si="260"/>
        <v>3.7416666666666668E-2</v>
      </c>
      <c r="P1079" s="2">
        <f t="shared" si="261"/>
        <v>26.94</v>
      </c>
      <c r="Q1079" s="7">
        <f t="shared" si="262"/>
        <v>122.0108695652174</v>
      </c>
      <c r="R1079" s="2">
        <v>1.2</v>
      </c>
      <c r="S1079" s="2">
        <f t="shared" si="256"/>
        <v>4.45</v>
      </c>
      <c r="T1079" s="2"/>
      <c r="U1079" s="2"/>
      <c r="Y1079" s="8">
        <f t="shared" si="257"/>
        <v>4.3435869565217393</v>
      </c>
    </row>
    <row r="1080" spans="1:25" x14ac:dyDescent="0.25">
      <c r="A1080" s="34">
        <f t="shared" si="266"/>
        <v>1072</v>
      </c>
      <c r="B1080" s="35">
        <f t="shared" si="266"/>
        <v>183</v>
      </c>
      <c r="C1080" s="40" t="s">
        <v>275</v>
      </c>
      <c r="D1080" s="44" t="s">
        <v>101</v>
      </c>
      <c r="E1080" s="43">
        <v>1</v>
      </c>
      <c r="F1080" s="36">
        <v>0.1265</v>
      </c>
      <c r="G1080" s="36">
        <v>2.4920500000000002E-2</v>
      </c>
      <c r="H1080" s="36">
        <v>8.5999999999999993E-2</v>
      </c>
      <c r="I1080" s="37">
        <f>H1080*0.15</f>
        <v>1.2899999999999998E-2</v>
      </c>
      <c r="J1080" s="32">
        <f t="shared" si="255"/>
        <v>0.19135000000000002</v>
      </c>
      <c r="K1080" s="33">
        <f t="shared" si="258"/>
        <v>2.8702500000000002E-2</v>
      </c>
      <c r="L1080" s="33"/>
      <c r="O1080" s="2">
        <f t="shared" si="260"/>
        <v>3.5833333333333335E-2</v>
      </c>
      <c r="P1080" s="2">
        <f t="shared" si="261"/>
        <v>25.800000000000004</v>
      </c>
      <c r="Q1080" s="7">
        <f t="shared" si="262"/>
        <v>116.84782608695654</v>
      </c>
      <c r="R1080" s="2">
        <v>1.2</v>
      </c>
      <c r="S1080" s="2">
        <f t="shared" si="256"/>
        <v>4.45</v>
      </c>
      <c r="T1080" s="2"/>
      <c r="U1080" s="2"/>
      <c r="Y1080" s="8">
        <f t="shared" si="257"/>
        <v>4.1597826086956529</v>
      </c>
    </row>
    <row r="1081" spans="1:25" x14ac:dyDescent="0.25">
      <c r="A1081" s="34">
        <f t="shared" si="266"/>
        <v>1073</v>
      </c>
      <c r="B1081" s="35">
        <f t="shared" si="266"/>
        <v>184</v>
      </c>
      <c r="C1081" s="40" t="s">
        <v>275</v>
      </c>
      <c r="D1081" s="44" t="s">
        <v>101</v>
      </c>
      <c r="E1081" s="43">
        <v>2</v>
      </c>
      <c r="F1081" s="36">
        <v>0.13009999999999999</v>
      </c>
      <c r="G1081" s="36">
        <v>2.5629699999999998E-2</v>
      </c>
      <c r="H1081" s="36">
        <v>0</v>
      </c>
      <c r="I1081" s="37">
        <v>0</v>
      </c>
      <c r="J1081" s="32">
        <f t="shared" si="255"/>
        <v>0</v>
      </c>
      <c r="K1081" s="33">
        <f t="shared" si="258"/>
        <v>0</v>
      </c>
      <c r="L1081" s="33"/>
      <c r="O1081" s="2">
        <f t="shared" si="260"/>
        <v>0</v>
      </c>
      <c r="P1081" s="2">
        <f t="shared" si="261"/>
        <v>0</v>
      </c>
      <c r="Q1081" s="7">
        <f t="shared" si="262"/>
        <v>0</v>
      </c>
      <c r="R1081" s="2">
        <v>1.2</v>
      </c>
      <c r="S1081" s="2">
        <f t="shared" si="256"/>
        <v>4.45</v>
      </c>
      <c r="T1081" s="2"/>
      <c r="U1081" s="2"/>
      <c r="Y1081" s="8">
        <f t="shared" si="257"/>
        <v>0</v>
      </c>
    </row>
    <row r="1082" spans="1:25" x14ac:dyDescent="0.25">
      <c r="A1082" s="34">
        <f t="shared" si="266"/>
        <v>1074</v>
      </c>
      <c r="B1082" s="35">
        <f t="shared" si="266"/>
        <v>185</v>
      </c>
      <c r="C1082" s="40" t="s">
        <v>275</v>
      </c>
      <c r="D1082" s="41" t="s">
        <v>102</v>
      </c>
      <c r="E1082" s="35"/>
      <c r="F1082" s="36">
        <v>0.1646</v>
      </c>
      <c r="G1082" s="36">
        <f t="shared" ref="G1082:G1087" si="269">F1082*0.197</f>
        <v>3.2426200000000002E-2</v>
      </c>
      <c r="H1082" s="36">
        <v>5.6599999999999998E-2</v>
      </c>
      <c r="I1082" s="37">
        <f t="shared" ref="I1082:I1094" si="270">H1082*0.15</f>
        <v>8.4899999999999993E-3</v>
      </c>
      <c r="J1082" s="32">
        <f t="shared" si="255"/>
        <v>0.12593499999999999</v>
      </c>
      <c r="K1082" s="33">
        <f t="shared" si="258"/>
        <v>1.8890249999999997E-2</v>
      </c>
      <c r="L1082" s="33"/>
      <c r="O1082" s="2">
        <f t="shared" si="260"/>
        <v>2.3583333333333335E-2</v>
      </c>
      <c r="P1082" s="2">
        <f t="shared" si="261"/>
        <v>16.98</v>
      </c>
      <c r="Q1082" s="7">
        <f t="shared" si="262"/>
        <v>76.902173913043484</v>
      </c>
      <c r="R1082" s="2">
        <v>1.2</v>
      </c>
      <c r="S1082" s="2">
        <f t="shared" si="256"/>
        <v>4.45</v>
      </c>
      <c r="T1082" s="2"/>
      <c r="U1082" s="2"/>
      <c r="Y1082" s="8">
        <f t="shared" si="257"/>
        <v>2.7377173913043475</v>
      </c>
    </row>
    <row r="1083" spans="1:25" x14ac:dyDescent="0.25">
      <c r="A1083" s="34">
        <f t="shared" ref="A1083:B1098" si="271">A1082+1</f>
        <v>1075</v>
      </c>
      <c r="B1083" s="35">
        <f t="shared" si="271"/>
        <v>186</v>
      </c>
      <c r="C1083" s="40" t="s">
        <v>275</v>
      </c>
      <c r="D1083" s="41" t="s">
        <v>120</v>
      </c>
      <c r="E1083" s="35"/>
      <c r="F1083" s="36">
        <v>0.1862</v>
      </c>
      <c r="G1083" s="36">
        <f t="shared" si="269"/>
        <v>3.6681400000000003E-2</v>
      </c>
      <c r="H1083" s="36">
        <v>5.6599999999999998E-2</v>
      </c>
      <c r="I1083" s="37">
        <f t="shared" si="270"/>
        <v>8.4899999999999993E-3</v>
      </c>
      <c r="J1083" s="32">
        <f t="shared" si="255"/>
        <v>0.12593499999999999</v>
      </c>
      <c r="K1083" s="33">
        <f t="shared" si="258"/>
        <v>1.8890249999999997E-2</v>
      </c>
      <c r="L1083" s="33"/>
      <c r="O1083" s="2">
        <f t="shared" si="260"/>
        <v>2.3583333333333335E-2</v>
      </c>
      <c r="P1083" s="2">
        <f t="shared" si="261"/>
        <v>16.98</v>
      </c>
      <c r="Q1083" s="7">
        <f t="shared" si="262"/>
        <v>76.902173913043484</v>
      </c>
      <c r="R1083" s="2">
        <v>1.2</v>
      </c>
      <c r="S1083" s="2">
        <f t="shared" si="256"/>
        <v>4.45</v>
      </c>
      <c r="T1083" s="2"/>
      <c r="U1083" s="2"/>
      <c r="Y1083" s="8">
        <f t="shared" si="257"/>
        <v>2.7377173913043475</v>
      </c>
    </row>
    <row r="1084" spans="1:25" x14ac:dyDescent="0.25">
      <c r="A1084" s="34">
        <f t="shared" si="271"/>
        <v>1076</v>
      </c>
      <c r="B1084" s="35">
        <f t="shared" si="271"/>
        <v>187</v>
      </c>
      <c r="C1084" s="40" t="s">
        <v>275</v>
      </c>
      <c r="D1084" s="41" t="s">
        <v>103</v>
      </c>
      <c r="E1084" s="35"/>
      <c r="F1084" s="36">
        <v>0.2215</v>
      </c>
      <c r="G1084" s="36">
        <f t="shared" si="269"/>
        <v>4.3635500000000001E-2</v>
      </c>
      <c r="H1084" s="36">
        <v>7.5800000000000006E-2</v>
      </c>
      <c r="I1084" s="37">
        <f t="shared" si="270"/>
        <v>1.137E-2</v>
      </c>
      <c r="J1084" s="32">
        <f t="shared" si="255"/>
        <v>0.16865500000000003</v>
      </c>
      <c r="K1084" s="33">
        <f t="shared" si="258"/>
        <v>2.5298250000000005E-2</v>
      </c>
      <c r="L1084" s="33"/>
      <c r="O1084" s="2">
        <f t="shared" si="260"/>
        <v>3.1583333333333338E-2</v>
      </c>
      <c r="P1084" s="2">
        <f t="shared" si="261"/>
        <v>22.740000000000002</v>
      </c>
      <c r="Q1084" s="7">
        <f t="shared" si="262"/>
        <v>102.98913043478262</v>
      </c>
      <c r="R1084" s="2">
        <v>1.2</v>
      </c>
      <c r="S1084" s="2">
        <f t="shared" si="256"/>
        <v>4.45</v>
      </c>
      <c r="T1084" s="2"/>
      <c r="U1084" s="2"/>
      <c r="Y1084" s="8">
        <f t="shared" si="257"/>
        <v>3.6664130434782618</v>
      </c>
    </row>
    <row r="1085" spans="1:25" x14ac:dyDescent="0.25">
      <c r="A1085" s="34">
        <f t="shared" si="271"/>
        <v>1077</v>
      </c>
      <c r="B1085" s="35">
        <f t="shared" si="271"/>
        <v>188</v>
      </c>
      <c r="C1085" s="40" t="s">
        <v>275</v>
      </c>
      <c r="D1085" s="41" t="s">
        <v>64</v>
      </c>
      <c r="E1085" s="35"/>
      <c r="F1085" s="36">
        <v>0.40770000000000001</v>
      </c>
      <c r="G1085" s="36">
        <f t="shared" si="269"/>
        <v>8.0316900000000011E-2</v>
      </c>
      <c r="H1085" s="36">
        <v>0.12659999999999999</v>
      </c>
      <c r="I1085" s="37">
        <f t="shared" si="270"/>
        <v>1.8989999999999996E-2</v>
      </c>
      <c r="J1085" s="32">
        <f t="shared" si="255"/>
        <v>0.23421</v>
      </c>
      <c r="K1085" s="33">
        <f t="shared" si="258"/>
        <v>3.5131499999999996E-2</v>
      </c>
      <c r="L1085" s="33"/>
      <c r="O1085" s="2">
        <f t="shared" si="260"/>
        <v>5.2749999999999998E-2</v>
      </c>
      <c r="P1085" s="2">
        <f t="shared" si="261"/>
        <v>37.980000000000004</v>
      </c>
      <c r="Q1085" s="7">
        <f t="shared" si="262"/>
        <v>172.0108695652174</v>
      </c>
      <c r="R1085" s="2">
        <v>1.2</v>
      </c>
      <c r="S1085" s="2">
        <f t="shared" si="256"/>
        <v>3.7</v>
      </c>
      <c r="T1085" s="2"/>
      <c r="U1085" s="2"/>
      <c r="Y1085" s="8">
        <f t="shared" si="257"/>
        <v>5.0915217391304344</v>
      </c>
    </row>
    <row r="1086" spans="1:25" x14ac:dyDescent="0.25">
      <c r="A1086" s="34">
        <f t="shared" si="271"/>
        <v>1078</v>
      </c>
      <c r="B1086" s="35">
        <f t="shared" si="271"/>
        <v>189</v>
      </c>
      <c r="C1086" s="40" t="s">
        <v>275</v>
      </c>
      <c r="D1086" s="41" t="s">
        <v>105</v>
      </c>
      <c r="E1086" s="35"/>
      <c r="F1086" s="36">
        <v>0.2147</v>
      </c>
      <c r="G1086" s="36">
        <f t="shared" si="269"/>
        <v>4.2295900000000004E-2</v>
      </c>
      <c r="H1086" s="36">
        <v>6.9199999999999998E-2</v>
      </c>
      <c r="I1086" s="37">
        <f t="shared" si="270"/>
        <v>1.0379999999999999E-2</v>
      </c>
      <c r="J1086" s="32">
        <f t="shared" si="255"/>
        <v>0.15397</v>
      </c>
      <c r="K1086" s="33">
        <f t="shared" si="258"/>
        <v>2.3095499999999998E-2</v>
      </c>
      <c r="L1086" s="33"/>
      <c r="O1086" s="2">
        <f t="shared" si="260"/>
        <v>2.8833333333333332E-2</v>
      </c>
      <c r="P1086" s="2">
        <f t="shared" si="261"/>
        <v>20.759999999999998</v>
      </c>
      <c r="Q1086" s="7">
        <f t="shared" si="262"/>
        <v>94.021739130434781</v>
      </c>
      <c r="R1086" s="2">
        <v>1.2</v>
      </c>
      <c r="S1086" s="2">
        <f t="shared" si="256"/>
        <v>4.45</v>
      </c>
      <c r="T1086" s="2"/>
      <c r="U1086" s="2"/>
      <c r="Y1086" s="8">
        <f t="shared" si="257"/>
        <v>3.3471739130434783</v>
      </c>
    </row>
    <row r="1087" spans="1:25" x14ac:dyDescent="0.25">
      <c r="A1087" s="34">
        <f t="shared" si="271"/>
        <v>1079</v>
      </c>
      <c r="B1087" s="35">
        <f t="shared" si="271"/>
        <v>190</v>
      </c>
      <c r="C1087" s="40" t="s">
        <v>275</v>
      </c>
      <c r="D1087" s="41" t="s">
        <v>65</v>
      </c>
      <c r="E1087" s="35"/>
      <c r="F1087" s="36">
        <v>0.216</v>
      </c>
      <c r="G1087" s="36">
        <f t="shared" si="269"/>
        <v>4.2552E-2</v>
      </c>
      <c r="H1087" s="36">
        <v>6.25E-2</v>
      </c>
      <c r="I1087" s="37">
        <f t="shared" si="270"/>
        <v>9.3749999999999997E-3</v>
      </c>
      <c r="J1087" s="32">
        <f t="shared" si="255"/>
        <v>0.13906250000000001</v>
      </c>
      <c r="K1087" s="33">
        <f t="shared" si="258"/>
        <v>2.0859374999999999E-2</v>
      </c>
      <c r="L1087" s="33"/>
      <c r="O1087" s="2">
        <f t="shared" si="260"/>
        <v>2.6041666666666668E-2</v>
      </c>
      <c r="P1087" s="2">
        <f t="shared" si="261"/>
        <v>18.75</v>
      </c>
      <c r="Q1087" s="7">
        <f t="shared" si="262"/>
        <v>84.918478260869563</v>
      </c>
      <c r="R1087" s="2">
        <v>1.2</v>
      </c>
      <c r="S1087" s="2">
        <f t="shared" si="256"/>
        <v>4.45</v>
      </c>
      <c r="T1087" s="2"/>
      <c r="U1087" s="2"/>
      <c r="Y1087" s="8">
        <f t="shared" si="257"/>
        <v>3.023097826086957</v>
      </c>
    </row>
    <row r="1088" spans="1:25" x14ac:dyDescent="0.25">
      <c r="A1088" s="34">
        <f t="shared" si="271"/>
        <v>1080</v>
      </c>
      <c r="B1088" s="35">
        <f t="shared" si="271"/>
        <v>191</v>
      </c>
      <c r="C1088" s="42" t="s">
        <v>309</v>
      </c>
      <c r="D1088" s="44" t="s">
        <v>41</v>
      </c>
      <c r="E1088" s="43">
        <v>1</v>
      </c>
      <c r="F1088" s="36">
        <v>0.1326</v>
      </c>
      <c r="G1088" s="36">
        <v>2.6122200000000002E-2</v>
      </c>
      <c r="H1088" s="36">
        <v>6.3200000000000006E-2</v>
      </c>
      <c r="I1088" s="37">
        <f t="shared" si="270"/>
        <v>9.4800000000000006E-3</v>
      </c>
      <c r="J1088" s="32">
        <f t="shared" si="255"/>
        <v>0.14062000000000002</v>
      </c>
      <c r="K1088" s="33">
        <f t="shared" si="258"/>
        <v>2.1093000000000004E-2</v>
      </c>
      <c r="L1088" s="33"/>
      <c r="O1088" s="2">
        <f t="shared" si="260"/>
        <v>2.6333333333333337E-2</v>
      </c>
      <c r="P1088" s="2">
        <f t="shared" si="261"/>
        <v>18.960000000000004</v>
      </c>
      <c r="Q1088" s="7">
        <f t="shared" si="262"/>
        <v>85.869565217391326</v>
      </c>
      <c r="R1088" s="2">
        <v>1.2</v>
      </c>
      <c r="S1088" s="2">
        <f t="shared" si="256"/>
        <v>4.45</v>
      </c>
      <c r="T1088" s="2"/>
      <c r="U1088" s="2"/>
      <c r="Y1088" s="8">
        <f t="shared" si="257"/>
        <v>3.056956521739131</v>
      </c>
    </row>
    <row r="1089" spans="1:25" x14ac:dyDescent="0.25">
      <c r="A1089" s="34">
        <f t="shared" si="271"/>
        <v>1081</v>
      </c>
      <c r="B1089" s="35">
        <f t="shared" si="271"/>
        <v>192</v>
      </c>
      <c r="C1089" s="42" t="s">
        <v>309</v>
      </c>
      <c r="D1089" s="44" t="s">
        <v>41</v>
      </c>
      <c r="E1089" s="43">
        <v>2</v>
      </c>
      <c r="F1089" s="36">
        <v>0.1326</v>
      </c>
      <c r="G1089" s="36">
        <v>2.6122200000000002E-2</v>
      </c>
      <c r="H1089" s="36">
        <v>6.3200000000000006E-2</v>
      </c>
      <c r="I1089" s="37">
        <f t="shared" si="270"/>
        <v>9.4800000000000006E-3</v>
      </c>
      <c r="J1089" s="32">
        <f t="shared" si="255"/>
        <v>0.14062000000000002</v>
      </c>
      <c r="K1089" s="33">
        <f t="shared" si="258"/>
        <v>2.1093000000000004E-2</v>
      </c>
      <c r="L1089" s="33"/>
      <c r="O1089" s="2">
        <f t="shared" si="260"/>
        <v>2.6333333333333337E-2</v>
      </c>
      <c r="P1089" s="2">
        <f t="shared" si="261"/>
        <v>18.960000000000004</v>
      </c>
      <c r="Q1089" s="7">
        <f t="shared" si="262"/>
        <v>85.869565217391326</v>
      </c>
      <c r="R1089" s="2">
        <v>1.2</v>
      </c>
      <c r="S1089" s="2">
        <f t="shared" si="256"/>
        <v>4.45</v>
      </c>
      <c r="T1089" s="2"/>
      <c r="U1089" s="2"/>
      <c r="Y1089" s="8">
        <f t="shared" si="257"/>
        <v>3.056956521739131</v>
      </c>
    </row>
    <row r="1090" spans="1:25" x14ac:dyDescent="0.25">
      <c r="A1090" s="34">
        <f t="shared" si="271"/>
        <v>1082</v>
      </c>
      <c r="B1090" s="35">
        <f t="shared" si="271"/>
        <v>193</v>
      </c>
      <c r="C1090" s="42" t="s">
        <v>309</v>
      </c>
      <c r="D1090" s="44" t="s">
        <v>48</v>
      </c>
      <c r="E1090" s="43">
        <v>1</v>
      </c>
      <c r="F1090" s="36">
        <v>0.31990000000000002</v>
      </c>
      <c r="G1090" s="36">
        <v>6.3020300000000001E-2</v>
      </c>
      <c r="H1090" s="36">
        <v>8.4199999999999997E-2</v>
      </c>
      <c r="I1090" s="37">
        <f t="shared" si="270"/>
        <v>1.2629999999999999E-2</v>
      </c>
      <c r="J1090" s="32">
        <f t="shared" si="255"/>
        <v>0.18734500000000001</v>
      </c>
      <c r="K1090" s="33">
        <f t="shared" si="258"/>
        <v>2.8101750000000002E-2</v>
      </c>
      <c r="L1090" s="33"/>
      <c r="O1090" s="2">
        <f t="shared" si="260"/>
        <v>3.5083333333333334E-2</v>
      </c>
      <c r="P1090" s="2">
        <f t="shared" si="261"/>
        <v>25.26</v>
      </c>
      <c r="Q1090" s="7">
        <f t="shared" si="262"/>
        <v>114.40217391304348</v>
      </c>
      <c r="R1090" s="2">
        <v>1.2</v>
      </c>
      <c r="S1090" s="2">
        <f t="shared" si="256"/>
        <v>4.45</v>
      </c>
      <c r="T1090" s="2"/>
      <c r="U1090" s="2"/>
      <c r="Y1090" s="8">
        <f t="shared" si="257"/>
        <v>4.072717391304348</v>
      </c>
    </row>
    <row r="1091" spans="1:25" x14ac:dyDescent="0.25">
      <c r="A1091" s="34">
        <f t="shared" si="271"/>
        <v>1083</v>
      </c>
      <c r="B1091" s="35">
        <f t="shared" si="271"/>
        <v>194</v>
      </c>
      <c r="C1091" s="42" t="s">
        <v>309</v>
      </c>
      <c r="D1091" s="44" t="s">
        <v>48</v>
      </c>
      <c r="E1091" s="43">
        <v>2</v>
      </c>
      <c r="F1091" s="36">
        <v>0.31990000000000002</v>
      </c>
      <c r="G1091" s="36">
        <v>6.3020300000000001E-2</v>
      </c>
      <c r="H1091" s="36">
        <v>8.4199999999999997E-2</v>
      </c>
      <c r="I1091" s="37">
        <f t="shared" si="270"/>
        <v>1.2629999999999999E-2</v>
      </c>
      <c r="J1091" s="32">
        <f t="shared" si="255"/>
        <v>0.18734500000000001</v>
      </c>
      <c r="K1091" s="33">
        <f t="shared" si="258"/>
        <v>2.8101750000000002E-2</v>
      </c>
      <c r="L1091" s="33"/>
      <c r="O1091" s="2">
        <f t="shared" si="260"/>
        <v>3.5083333333333334E-2</v>
      </c>
      <c r="P1091" s="2">
        <f t="shared" si="261"/>
        <v>25.26</v>
      </c>
      <c r="Q1091" s="7">
        <f t="shared" si="262"/>
        <v>114.40217391304348</v>
      </c>
      <c r="R1091" s="2">
        <v>1.2</v>
      </c>
      <c r="S1091" s="2">
        <f t="shared" si="256"/>
        <v>4.45</v>
      </c>
      <c r="T1091" s="2"/>
      <c r="U1091" s="2"/>
      <c r="Y1091" s="8">
        <f t="shared" si="257"/>
        <v>4.072717391304348</v>
      </c>
    </row>
    <row r="1092" spans="1:25" x14ac:dyDescent="0.25">
      <c r="A1092" s="34">
        <f t="shared" si="271"/>
        <v>1084</v>
      </c>
      <c r="B1092" s="35">
        <f t="shared" si="271"/>
        <v>195</v>
      </c>
      <c r="C1092" s="42" t="s">
        <v>309</v>
      </c>
      <c r="D1092" s="44" t="s">
        <v>51</v>
      </c>
      <c r="E1092" s="43">
        <v>1</v>
      </c>
      <c r="F1092" s="36">
        <v>0.47017999999999999</v>
      </c>
      <c r="G1092" s="36">
        <v>9.2625460000000007E-2</v>
      </c>
      <c r="H1092" s="36">
        <v>7.6539999999999997E-2</v>
      </c>
      <c r="I1092" s="37">
        <f t="shared" si="270"/>
        <v>1.1481E-2</v>
      </c>
      <c r="J1092" s="32">
        <f t="shared" si="255"/>
        <v>0.17030149999999999</v>
      </c>
      <c r="K1092" s="33">
        <f t="shared" si="258"/>
        <v>2.5545224999999998E-2</v>
      </c>
      <c r="L1092" s="33"/>
      <c r="O1092" s="2">
        <f t="shared" si="260"/>
        <v>3.1891666666666665E-2</v>
      </c>
      <c r="P1092" s="2">
        <f t="shared" si="261"/>
        <v>22.962</v>
      </c>
      <c r="Q1092" s="7">
        <f t="shared" si="262"/>
        <v>103.99456521739131</v>
      </c>
      <c r="R1092" s="2">
        <v>1.2</v>
      </c>
      <c r="S1092" s="2">
        <f t="shared" si="256"/>
        <v>4.45</v>
      </c>
      <c r="T1092" s="2"/>
      <c r="U1092" s="2"/>
      <c r="Y1092" s="8">
        <f t="shared" si="257"/>
        <v>3.70220652173913</v>
      </c>
    </row>
    <row r="1093" spans="1:25" x14ac:dyDescent="0.25">
      <c r="A1093" s="34">
        <f t="shared" si="271"/>
        <v>1085</v>
      </c>
      <c r="B1093" s="35">
        <f t="shared" si="271"/>
        <v>196</v>
      </c>
      <c r="C1093" s="42" t="s">
        <v>309</v>
      </c>
      <c r="D1093" s="44" t="s">
        <v>51</v>
      </c>
      <c r="E1093" s="43">
        <v>2</v>
      </c>
      <c r="F1093" s="36">
        <v>0.47017999999999999</v>
      </c>
      <c r="G1093" s="36">
        <v>9.2625460000000007E-2</v>
      </c>
      <c r="H1093" s="36">
        <v>7.6539999999999997E-2</v>
      </c>
      <c r="I1093" s="37">
        <f t="shared" si="270"/>
        <v>1.1481E-2</v>
      </c>
      <c r="J1093" s="32">
        <f t="shared" si="255"/>
        <v>0.17030149999999999</v>
      </c>
      <c r="K1093" s="33">
        <f t="shared" si="258"/>
        <v>2.5545224999999998E-2</v>
      </c>
      <c r="L1093" s="33"/>
      <c r="O1093" s="2">
        <f t="shared" si="260"/>
        <v>3.1891666666666665E-2</v>
      </c>
      <c r="P1093" s="2">
        <f t="shared" si="261"/>
        <v>22.962</v>
      </c>
      <c r="Q1093" s="7">
        <f t="shared" si="262"/>
        <v>103.99456521739131</v>
      </c>
      <c r="R1093" s="2">
        <v>1.2</v>
      </c>
      <c r="S1093" s="2">
        <f t="shared" si="256"/>
        <v>4.45</v>
      </c>
      <c r="T1093" s="2"/>
      <c r="U1093" s="2"/>
      <c r="Y1093" s="8">
        <f t="shared" si="257"/>
        <v>3.70220652173913</v>
      </c>
    </row>
    <row r="1094" spans="1:25" x14ac:dyDescent="0.25">
      <c r="A1094" s="34">
        <f t="shared" si="271"/>
        <v>1086</v>
      </c>
      <c r="B1094" s="35">
        <f t="shared" si="271"/>
        <v>197</v>
      </c>
      <c r="C1094" s="42" t="s">
        <v>309</v>
      </c>
      <c r="D1094" s="44" t="s">
        <v>52</v>
      </c>
      <c r="E1094" s="43">
        <v>1</v>
      </c>
      <c r="F1094" s="36">
        <v>0.15809999999999999</v>
      </c>
      <c r="G1094" s="36">
        <v>3.1145699999999998E-2</v>
      </c>
      <c r="H1094" s="36">
        <v>6.9900000000000004E-2</v>
      </c>
      <c r="I1094" s="37">
        <f t="shared" si="270"/>
        <v>1.0485E-2</v>
      </c>
      <c r="J1094" s="32">
        <f t="shared" si="255"/>
        <v>0.15552750000000001</v>
      </c>
      <c r="K1094" s="33">
        <f t="shared" si="258"/>
        <v>2.3329125000000003E-2</v>
      </c>
      <c r="L1094" s="33"/>
      <c r="O1094" s="2">
        <f t="shared" si="260"/>
        <v>2.9125000000000002E-2</v>
      </c>
      <c r="P1094" s="2">
        <f t="shared" si="261"/>
        <v>20.970000000000002</v>
      </c>
      <c r="Q1094" s="7">
        <f t="shared" si="262"/>
        <v>94.97282608695653</v>
      </c>
      <c r="R1094" s="2">
        <v>1.2</v>
      </c>
      <c r="S1094" s="2">
        <f t="shared" si="256"/>
        <v>4.45</v>
      </c>
      <c r="T1094" s="2"/>
      <c r="U1094" s="2"/>
      <c r="Y1094" s="8">
        <f t="shared" si="257"/>
        <v>3.3810326086956524</v>
      </c>
    </row>
    <row r="1095" spans="1:25" x14ac:dyDescent="0.25">
      <c r="A1095" s="34">
        <f t="shared" si="271"/>
        <v>1087</v>
      </c>
      <c r="B1095" s="35">
        <f t="shared" si="271"/>
        <v>198</v>
      </c>
      <c r="C1095" s="42" t="s">
        <v>309</v>
      </c>
      <c r="D1095" s="44" t="s">
        <v>52</v>
      </c>
      <c r="E1095" s="43">
        <v>2</v>
      </c>
      <c r="F1095" s="36">
        <v>0.15809999999999999</v>
      </c>
      <c r="G1095" s="36">
        <v>3.1145699999999998E-2</v>
      </c>
      <c r="H1095" s="36">
        <v>6.9900000000000004E-2</v>
      </c>
      <c r="I1095" s="37">
        <v>1.0485E-2</v>
      </c>
      <c r="J1095" s="32">
        <f t="shared" si="255"/>
        <v>0.15552750000000001</v>
      </c>
      <c r="K1095" s="33">
        <f t="shared" si="258"/>
        <v>2.3329125000000003E-2</v>
      </c>
      <c r="L1095" s="33"/>
      <c r="O1095" s="2">
        <f t="shared" si="260"/>
        <v>2.9125000000000002E-2</v>
      </c>
      <c r="P1095" s="2">
        <f t="shared" si="261"/>
        <v>20.970000000000002</v>
      </c>
      <c r="Q1095" s="7">
        <f t="shared" si="262"/>
        <v>94.97282608695653</v>
      </c>
      <c r="R1095" s="2">
        <v>1.2</v>
      </c>
      <c r="S1095" s="2">
        <f t="shared" si="256"/>
        <v>4.45</v>
      </c>
      <c r="T1095" s="2"/>
      <c r="U1095" s="2"/>
      <c r="Y1095" s="8">
        <f t="shared" si="257"/>
        <v>3.3810326086956524</v>
      </c>
    </row>
    <row r="1096" spans="1:25" x14ac:dyDescent="0.25">
      <c r="A1096" s="34">
        <f t="shared" si="271"/>
        <v>1088</v>
      </c>
      <c r="B1096" s="35">
        <f t="shared" si="271"/>
        <v>199</v>
      </c>
      <c r="C1096" s="42" t="s">
        <v>309</v>
      </c>
      <c r="D1096" s="44" t="s">
        <v>54</v>
      </c>
      <c r="E1096" s="43">
        <v>1</v>
      </c>
      <c r="F1096" s="36">
        <v>0.11693000000000001</v>
      </c>
      <c r="G1096" s="36">
        <v>2.303521E-2</v>
      </c>
      <c r="H1096" s="36">
        <v>0.20610000000000001</v>
      </c>
      <c r="I1096" s="37">
        <v>3.0915000000000002E-2</v>
      </c>
      <c r="J1096" s="32">
        <f t="shared" si="255"/>
        <v>0.36582749999999997</v>
      </c>
      <c r="K1096" s="33">
        <f t="shared" si="258"/>
        <v>5.4874124999999996E-2</v>
      </c>
      <c r="L1096" s="33"/>
      <c r="O1096" s="2">
        <f t="shared" si="260"/>
        <v>8.5875000000000007E-2</v>
      </c>
      <c r="P1096" s="2">
        <f t="shared" si="261"/>
        <v>61.83</v>
      </c>
      <c r="Q1096" s="7">
        <f t="shared" si="262"/>
        <v>280.0271739130435</v>
      </c>
      <c r="R1096" s="2">
        <v>1.2</v>
      </c>
      <c r="S1096" s="2">
        <f t="shared" si="256"/>
        <v>3.55</v>
      </c>
      <c r="T1096" s="2"/>
      <c r="U1096" s="2"/>
      <c r="Y1096" s="8">
        <f t="shared" si="257"/>
        <v>7.9527717391304344</v>
      </c>
    </row>
    <row r="1097" spans="1:25" x14ac:dyDescent="0.25">
      <c r="A1097" s="34">
        <f t="shared" si="271"/>
        <v>1089</v>
      </c>
      <c r="B1097" s="35">
        <f t="shared" si="271"/>
        <v>200</v>
      </c>
      <c r="C1097" s="42" t="s">
        <v>309</v>
      </c>
      <c r="D1097" s="44" t="s">
        <v>54</v>
      </c>
      <c r="E1097" s="43">
        <v>2</v>
      </c>
      <c r="F1097" s="36">
        <v>0.11693000000000001</v>
      </c>
      <c r="G1097" s="36">
        <v>2.303521E-2</v>
      </c>
      <c r="H1097" s="36">
        <v>0.20610000000000001</v>
      </c>
      <c r="I1097" s="37">
        <v>3.0915000000000002E-2</v>
      </c>
      <c r="J1097" s="32">
        <f t="shared" ref="J1097:J1160" si="272">O1097*R1097*S1097</f>
        <v>0.36582749999999997</v>
      </c>
      <c r="K1097" s="33">
        <f t="shared" si="258"/>
        <v>5.4874124999999996E-2</v>
      </c>
      <c r="L1097" s="33"/>
      <c r="O1097" s="2">
        <f t="shared" si="260"/>
        <v>8.5875000000000007E-2</v>
      </c>
      <c r="P1097" s="2">
        <f t="shared" si="261"/>
        <v>61.83</v>
      </c>
      <c r="Q1097" s="7">
        <f t="shared" si="262"/>
        <v>280.0271739130435</v>
      </c>
      <c r="R1097" s="2">
        <v>1.2</v>
      </c>
      <c r="S1097" s="2">
        <f t="shared" ref="S1097:S1160" si="273">IF(Q1097&lt;=$AE$6,$AF$6,IF(Q1097&lt;=$AE$7,$AF$7,IF(Q1097&lt;=$AE$8,$AF$8,IF(Q1097&lt;=$AE$9,$AF$9,IF(Q1097&lt;=$AE$10,$AF$10,0)))))</f>
        <v>3.55</v>
      </c>
      <c r="T1097" s="2"/>
      <c r="U1097" s="2"/>
      <c r="Y1097" s="8">
        <f t="shared" ref="Y1097:Y1160" si="274">J1097/46*1000</f>
        <v>7.9527717391304344</v>
      </c>
    </row>
    <row r="1098" spans="1:25" x14ac:dyDescent="0.25">
      <c r="A1098" s="34">
        <f t="shared" si="271"/>
        <v>1090</v>
      </c>
      <c r="B1098" s="35">
        <f t="shared" si="271"/>
        <v>201</v>
      </c>
      <c r="C1098" s="42" t="s">
        <v>309</v>
      </c>
      <c r="D1098" s="44" t="s">
        <v>56</v>
      </c>
      <c r="E1098" s="43">
        <v>1</v>
      </c>
      <c r="F1098" s="36">
        <v>0.17623</v>
      </c>
      <c r="G1098" s="36">
        <v>3.4717310000000001E-2</v>
      </c>
      <c r="H1098" s="36">
        <v>5.6669999999999998E-2</v>
      </c>
      <c r="I1098" s="37">
        <v>8.5004999999999994E-3</v>
      </c>
      <c r="J1098" s="32">
        <f t="shared" si="272"/>
        <v>0.12609075</v>
      </c>
      <c r="K1098" s="33">
        <f t="shared" ref="K1098:K1161" si="275">J1098*0.15</f>
        <v>1.89136125E-2</v>
      </c>
      <c r="L1098" s="33"/>
      <c r="O1098" s="2">
        <f t="shared" si="260"/>
        <v>2.3612500000000002E-2</v>
      </c>
      <c r="P1098" s="2">
        <f t="shared" si="261"/>
        <v>17.000999999999998</v>
      </c>
      <c r="Q1098" s="7">
        <f t="shared" si="262"/>
        <v>76.997282608695642</v>
      </c>
      <c r="R1098" s="2">
        <v>1.2</v>
      </c>
      <c r="S1098" s="2">
        <f t="shared" si="273"/>
        <v>4.45</v>
      </c>
      <c r="T1098" s="2"/>
      <c r="U1098" s="2"/>
      <c r="Y1098" s="8">
        <f t="shared" si="274"/>
        <v>2.7411032608695649</v>
      </c>
    </row>
    <row r="1099" spans="1:25" x14ac:dyDescent="0.25">
      <c r="A1099" s="34">
        <f t="shared" ref="A1099:B1114" si="276">A1098+1</f>
        <v>1091</v>
      </c>
      <c r="B1099" s="35">
        <f t="shared" si="276"/>
        <v>202</v>
      </c>
      <c r="C1099" s="42" t="s">
        <v>309</v>
      </c>
      <c r="D1099" s="44" t="s">
        <v>56</v>
      </c>
      <c r="E1099" s="43">
        <v>2</v>
      </c>
      <c r="F1099" s="36">
        <v>0.17623</v>
      </c>
      <c r="G1099" s="36">
        <v>3.4717310000000001E-2</v>
      </c>
      <c r="H1099" s="36">
        <v>5.6669999999999998E-2</v>
      </c>
      <c r="I1099" s="37">
        <v>8.5004999999999994E-3</v>
      </c>
      <c r="J1099" s="32">
        <f t="shared" si="272"/>
        <v>0.12609075</v>
      </c>
      <c r="K1099" s="33">
        <f t="shared" si="275"/>
        <v>1.89136125E-2</v>
      </c>
      <c r="L1099" s="33"/>
      <c r="O1099" s="2">
        <f t="shared" ref="O1099:O1162" si="277">H1099/2.4</f>
        <v>2.3612500000000002E-2</v>
      </c>
      <c r="P1099" s="2">
        <f t="shared" ref="P1099:P1162" si="278">O1099*24*30</f>
        <v>17.000999999999998</v>
      </c>
      <c r="Q1099" s="7">
        <f t="shared" ref="Q1099:Q1162" si="279">P1099/0.2208</f>
        <v>76.997282608695642</v>
      </c>
      <c r="R1099" s="2">
        <v>1.2</v>
      </c>
      <c r="S1099" s="2">
        <f t="shared" si="273"/>
        <v>4.45</v>
      </c>
      <c r="T1099" s="2"/>
      <c r="U1099" s="2"/>
      <c r="Y1099" s="8">
        <f t="shared" si="274"/>
        <v>2.7411032608695649</v>
      </c>
    </row>
    <row r="1100" spans="1:25" x14ac:dyDescent="0.25">
      <c r="A1100" s="34">
        <f t="shared" si="276"/>
        <v>1092</v>
      </c>
      <c r="B1100" s="35">
        <f t="shared" si="276"/>
        <v>203</v>
      </c>
      <c r="C1100" s="42" t="s">
        <v>309</v>
      </c>
      <c r="D1100" s="44" t="s">
        <v>56</v>
      </c>
      <c r="E1100" s="43">
        <v>3</v>
      </c>
      <c r="F1100" s="36">
        <v>0.17623</v>
      </c>
      <c r="G1100" s="36">
        <v>3.4717310000000001E-2</v>
      </c>
      <c r="H1100" s="36">
        <v>5.6669999999999998E-2</v>
      </c>
      <c r="I1100" s="37">
        <v>8.5004999999999994E-3</v>
      </c>
      <c r="J1100" s="32">
        <f t="shared" si="272"/>
        <v>0.12609075</v>
      </c>
      <c r="K1100" s="33">
        <f t="shared" si="275"/>
        <v>1.89136125E-2</v>
      </c>
      <c r="L1100" s="33"/>
      <c r="O1100" s="2">
        <f t="shared" si="277"/>
        <v>2.3612500000000002E-2</v>
      </c>
      <c r="P1100" s="2">
        <f t="shared" si="278"/>
        <v>17.000999999999998</v>
      </c>
      <c r="Q1100" s="7">
        <f t="shared" si="279"/>
        <v>76.997282608695642</v>
      </c>
      <c r="R1100" s="2">
        <v>1.2</v>
      </c>
      <c r="S1100" s="2">
        <f t="shared" si="273"/>
        <v>4.45</v>
      </c>
      <c r="T1100" s="2"/>
      <c r="U1100" s="2"/>
      <c r="Y1100" s="8">
        <f t="shared" si="274"/>
        <v>2.7411032608695649</v>
      </c>
    </row>
    <row r="1101" spans="1:25" x14ac:dyDescent="0.25">
      <c r="A1101" s="34">
        <f t="shared" si="276"/>
        <v>1093</v>
      </c>
      <c r="B1101" s="35">
        <f t="shared" si="276"/>
        <v>204</v>
      </c>
      <c r="C1101" s="42" t="s">
        <v>309</v>
      </c>
      <c r="D1101" s="44" t="s">
        <v>94</v>
      </c>
      <c r="E1101" s="43">
        <v>1</v>
      </c>
      <c r="F1101" s="36">
        <v>0.1416</v>
      </c>
      <c r="G1101" s="36">
        <v>2.7895199999999998E-2</v>
      </c>
      <c r="H1101" s="36">
        <v>5.4199999999999998E-2</v>
      </c>
      <c r="I1101" s="37">
        <v>8.1300000000000001E-3</v>
      </c>
      <c r="J1101" s="32">
        <f t="shared" si="272"/>
        <v>0.12059499999999999</v>
      </c>
      <c r="K1101" s="33">
        <f t="shared" si="275"/>
        <v>1.8089249999999998E-2</v>
      </c>
      <c r="L1101" s="33"/>
      <c r="O1101" s="2">
        <f t="shared" si="277"/>
        <v>2.2583333333333334E-2</v>
      </c>
      <c r="P1101" s="2">
        <f t="shared" si="278"/>
        <v>16.260000000000002</v>
      </c>
      <c r="Q1101" s="7">
        <f t="shared" si="279"/>
        <v>73.641304347826093</v>
      </c>
      <c r="R1101" s="2">
        <v>1.2</v>
      </c>
      <c r="S1101" s="2">
        <f t="shared" si="273"/>
        <v>4.45</v>
      </c>
      <c r="T1101" s="2"/>
      <c r="U1101" s="2"/>
      <c r="Y1101" s="8">
        <f t="shared" si="274"/>
        <v>2.6216304347826087</v>
      </c>
    </row>
    <row r="1102" spans="1:25" x14ac:dyDescent="0.25">
      <c r="A1102" s="34">
        <f t="shared" si="276"/>
        <v>1094</v>
      </c>
      <c r="B1102" s="35">
        <f t="shared" si="276"/>
        <v>205</v>
      </c>
      <c r="C1102" s="42" t="s">
        <v>309</v>
      </c>
      <c r="D1102" s="44" t="s">
        <v>94</v>
      </c>
      <c r="E1102" s="43">
        <v>2</v>
      </c>
      <c r="F1102" s="36">
        <v>0.1416</v>
      </c>
      <c r="G1102" s="36">
        <v>2.7895199999999998E-2</v>
      </c>
      <c r="H1102" s="36">
        <v>5.4199999999999998E-2</v>
      </c>
      <c r="I1102" s="37">
        <v>8.1300000000000001E-3</v>
      </c>
      <c r="J1102" s="32">
        <f t="shared" si="272"/>
        <v>0.12059499999999999</v>
      </c>
      <c r="K1102" s="33">
        <f t="shared" si="275"/>
        <v>1.8089249999999998E-2</v>
      </c>
      <c r="L1102" s="33"/>
      <c r="O1102" s="2">
        <f t="shared" si="277"/>
        <v>2.2583333333333334E-2</v>
      </c>
      <c r="P1102" s="2">
        <f t="shared" si="278"/>
        <v>16.260000000000002</v>
      </c>
      <c r="Q1102" s="7">
        <f t="shared" si="279"/>
        <v>73.641304347826093</v>
      </c>
      <c r="R1102" s="2">
        <v>1.2</v>
      </c>
      <c r="S1102" s="2">
        <f t="shared" si="273"/>
        <v>4.45</v>
      </c>
      <c r="T1102" s="2"/>
      <c r="U1102" s="2"/>
      <c r="Y1102" s="8">
        <f t="shared" si="274"/>
        <v>2.6216304347826087</v>
      </c>
    </row>
    <row r="1103" spans="1:25" x14ac:dyDescent="0.25">
      <c r="A1103" s="34">
        <f t="shared" si="276"/>
        <v>1095</v>
      </c>
      <c r="B1103" s="35">
        <f t="shared" si="276"/>
        <v>206</v>
      </c>
      <c r="C1103" s="42" t="s">
        <v>309</v>
      </c>
      <c r="D1103" s="44" t="s">
        <v>96</v>
      </c>
      <c r="E1103" s="43">
        <v>1</v>
      </c>
      <c r="F1103" s="36">
        <v>0.13039999999999999</v>
      </c>
      <c r="G1103" s="36">
        <v>2.5688800000000001E-2</v>
      </c>
      <c r="H1103" s="36">
        <v>4.1200000000000001E-2</v>
      </c>
      <c r="I1103" s="37">
        <v>6.1799999999999997E-3</v>
      </c>
      <c r="J1103" s="32">
        <f t="shared" si="272"/>
        <v>9.1670000000000001E-2</v>
      </c>
      <c r="K1103" s="33">
        <f t="shared" si="275"/>
        <v>1.3750500000000001E-2</v>
      </c>
      <c r="L1103" s="33"/>
      <c r="O1103" s="2">
        <f t="shared" si="277"/>
        <v>1.7166666666666667E-2</v>
      </c>
      <c r="P1103" s="2">
        <f t="shared" si="278"/>
        <v>12.360000000000001</v>
      </c>
      <c r="Q1103" s="7">
        <f t="shared" si="279"/>
        <v>55.978260869565226</v>
      </c>
      <c r="R1103" s="2">
        <v>1.2</v>
      </c>
      <c r="S1103" s="2">
        <f t="shared" si="273"/>
        <v>4.45</v>
      </c>
      <c r="T1103" s="2"/>
      <c r="U1103" s="2"/>
      <c r="Y1103" s="8">
        <f t="shared" si="274"/>
        <v>1.992826086956522</v>
      </c>
    </row>
    <row r="1104" spans="1:25" x14ac:dyDescent="0.25">
      <c r="A1104" s="34">
        <f t="shared" si="276"/>
        <v>1096</v>
      </c>
      <c r="B1104" s="35">
        <f t="shared" si="276"/>
        <v>207</v>
      </c>
      <c r="C1104" s="42" t="s">
        <v>309</v>
      </c>
      <c r="D1104" s="44" t="s">
        <v>96</v>
      </c>
      <c r="E1104" s="43">
        <v>2</v>
      </c>
      <c r="F1104" s="36">
        <v>0.13039999999999999</v>
      </c>
      <c r="G1104" s="36">
        <v>2.5688800000000001E-2</v>
      </c>
      <c r="H1104" s="36">
        <v>4.1200000000000001E-2</v>
      </c>
      <c r="I1104" s="37">
        <v>6.1799999999999997E-3</v>
      </c>
      <c r="J1104" s="32">
        <f t="shared" si="272"/>
        <v>9.1670000000000001E-2</v>
      </c>
      <c r="K1104" s="33">
        <f t="shared" si="275"/>
        <v>1.3750500000000001E-2</v>
      </c>
      <c r="L1104" s="33"/>
      <c r="O1104" s="2">
        <f t="shared" si="277"/>
        <v>1.7166666666666667E-2</v>
      </c>
      <c r="P1104" s="2">
        <f t="shared" si="278"/>
        <v>12.360000000000001</v>
      </c>
      <c r="Q1104" s="7">
        <f t="shared" si="279"/>
        <v>55.978260869565226</v>
      </c>
      <c r="R1104" s="2">
        <v>1.2</v>
      </c>
      <c r="S1104" s="2">
        <f t="shared" si="273"/>
        <v>4.45</v>
      </c>
      <c r="T1104" s="2"/>
      <c r="U1104" s="2"/>
      <c r="Y1104" s="8">
        <f t="shared" si="274"/>
        <v>1.992826086956522</v>
      </c>
    </row>
    <row r="1105" spans="1:25" x14ac:dyDescent="0.25">
      <c r="A1105" s="34">
        <f t="shared" si="276"/>
        <v>1097</v>
      </c>
      <c r="B1105" s="35">
        <f t="shared" si="276"/>
        <v>208</v>
      </c>
      <c r="C1105" s="42" t="s">
        <v>309</v>
      </c>
      <c r="D1105" s="44" t="s">
        <v>96</v>
      </c>
      <c r="E1105" s="43">
        <v>3</v>
      </c>
      <c r="F1105" s="36">
        <v>0.13039999999999999</v>
      </c>
      <c r="G1105" s="36">
        <v>2.5688800000000001E-2</v>
      </c>
      <c r="H1105" s="36">
        <v>4.1200000000000001E-2</v>
      </c>
      <c r="I1105" s="37">
        <v>6.1799999999999997E-3</v>
      </c>
      <c r="J1105" s="32">
        <f t="shared" si="272"/>
        <v>9.1670000000000001E-2</v>
      </c>
      <c r="K1105" s="33">
        <f t="shared" si="275"/>
        <v>1.3750500000000001E-2</v>
      </c>
      <c r="L1105" s="33"/>
      <c r="O1105" s="2">
        <f t="shared" si="277"/>
        <v>1.7166666666666667E-2</v>
      </c>
      <c r="P1105" s="2">
        <f t="shared" si="278"/>
        <v>12.360000000000001</v>
      </c>
      <c r="Q1105" s="7">
        <f t="shared" si="279"/>
        <v>55.978260869565226</v>
      </c>
      <c r="R1105" s="2">
        <v>1.2</v>
      </c>
      <c r="S1105" s="2">
        <f t="shared" si="273"/>
        <v>4.45</v>
      </c>
      <c r="T1105" s="2"/>
      <c r="U1105" s="2"/>
      <c r="Y1105" s="8">
        <f t="shared" si="274"/>
        <v>1.992826086956522</v>
      </c>
    </row>
    <row r="1106" spans="1:25" x14ac:dyDescent="0.25">
      <c r="A1106" s="34">
        <f t="shared" si="276"/>
        <v>1098</v>
      </c>
      <c r="B1106" s="35">
        <f t="shared" si="276"/>
        <v>209</v>
      </c>
      <c r="C1106" s="42" t="s">
        <v>309</v>
      </c>
      <c r="D1106" s="44" t="s">
        <v>96</v>
      </c>
      <c r="E1106" s="43">
        <v>4</v>
      </c>
      <c r="F1106" s="36">
        <v>0.13039999999999999</v>
      </c>
      <c r="G1106" s="36">
        <v>2.5688800000000001E-2</v>
      </c>
      <c r="H1106" s="36">
        <v>4.1200000000000001E-2</v>
      </c>
      <c r="I1106" s="37">
        <v>6.1799999999999997E-3</v>
      </c>
      <c r="J1106" s="32">
        <f t="shared" si="272"/>
        <v>9.1670000000000001E-2</v>
      </c>
      <c r="K1106" s="33">
        <f t="shared" si="275"/>
        <v>1.3750500000000001E-2</v>
      </c>
      <c r="L1106" s="33"/>
      <c r="O1106" s="2">
        <f t="shared" si="277"/>
        <v>1.7166666666666667E-2</v>
      </c>
      <c r="P1106" s="2">
        <f t="shared" si="278"/>
        <v>12.360000000000001</v>
      </c>
      <c r="Q1106" s="7">
        <f t="shared" si="279"/>
        <v>55.978260869565226</v>
      </c>
      <c r="R1106" s="2">
        <v>1.2</v>
      </c>
      <c r="S1106" s="2">
        <f t="shared" si="273"/>
        <v>4.45</v>
      </c>
      <c r="T1106" s="2"/>
      <c r="U1106" s="2"/>
      <c r="Y1106" s="8">
        <f t="shared" si="274"/>
        <v>1.992826086956522</v>
      </c>
    </row>
    <row r="1107" spans="1:25" x14ac:dyDescent="0.25">
      <c r="A1107" s="34">
        <f t="shared" si="276"/>
        <v>1099</v>
      </c>
      <c r="B1107" s="35">
        <f t="shared" si="276"/>
        <v>210</v>
      </c>
      <c r="C1107" s="42" t="s">
        <v>309</v>
      </c>
      <c r="D1107" s="44" t="s">
        <v>99</v>
      </c>
      <c r="E1107" s="43">
        <v>1</v>
      </c>
      <c r="F1107" s="36">
        <v>0.20610000000000001</v>
      </c>
      <c r="G1107" s="36">
        <v>4.0601699999999998E-2</v>
      </c>
      <c r="H1107" s="36">
        <v>7.7100000000000002E-2</v>
      </c>
      <c r="I1107" s="37">
        <v>1.1565000000000001E-2</v>
      </c>
      <c r="J1107" s="32">
        <f t="shared" si="272"/>
        <v>0.17154750000000002</v>
      </c>
      <c r="K1107" s="33">
        <f t="shared" si="275"/>
        <v>2.5732125000000002E-2</v>
      </c>
      <c r="L1107" s="33"/>
      <c r="O1107" s="2">
        <f t="shared" si="277"/>
        <v>3.2125000000000001E-2</v>
      </c>
      <c r="P1107" s="2">
        <f t="shared" si="278"/>
        <v>23.13</v>
      </c>
      <c r="Q1107" s="7">
        <f t="shared" si="279"/>
        <v>104.75543478260869</v>
      </c>
      <c r="R1107" s="2">
        <v>1.2</v>
      </c>
      <c r="S1107" s="2">
        <f t="shared" si="273"/>
        <v>4.45</v>
      </c>
      <c r="T1107" s="2"/>
      <c r="U1107" s="2"/>
      <c r="Y1107" s="8">
        <f t="shared" si="274"/>
        <v>3.7292934782608702</v>
      </c>
    </row>
    <row r="1108" spans="1:25" x14ac:dyDescent="0.25">
      <c r="A1108" s="34">
        <f t="shared" si="276"/>
        <v>1100</v>
      </c>
      <c r="B1108" s="35">
        <f t="shared" si="276"/>
        <v>211</v>
      </c>
      <c r="C1108" s="42" t="s">
        <v>309</v>
      </c>
      <c r="D1108" s="44" t="s">
        <v>99</v>
      </c>
      <c r="E1108" s="43">
        <v>2</v>
      </c>
      <c r="F1108" s="36">
        <v>0.20610000000000001</v>
      </c>
      <c r="G1108" s="36">
        <v>4.0601699999999998E-2</v>
      </c>
      <c r="H1108" s="36">
        <v>7.7100000000000002E-2</v>
      </c>
      <c r="I1108" s="37">
        <v>1.1565000000000001E-2</v>
      </c>
      <c r="J1108" s="32">
        <f t="shared" si="272"/>
        <v>0.17154750000000002</v>
      </c>
      <c r="K1108" s="33">
        <f t="shared" si="275"/>
        <v>2.5732125000000002E-2</v>
      </c>
      <c r="L1108" s="33"/>
      <c r="O1108" s="2">
        <f t="shared" si="277"/>
        <v>3.2125000000000001E-2</v>
      </c>
      <c r="P1108" s="2">
        <f t="shared" si="278"/>
        <v>23.13</v>
      </c>
      <c r="Q1108" s="7">
        <f t="shared" si="279"/>
        <v>104.75543478260869</v>
      </c>
      <c r="R1108" s="2">
        <v>1.2</v>
      </c>
      <c r="S1108" s="2">
        <f t="shared" si="273"/>
        <v>4.45</v>
      </c>
      <c r="T1108" s="2"/>
      <c r="U1108" s="2"/>
      <c r="Y1108" s="8">
        <f t="shared" si="274"/>
        <v>3.7292934782608702</v>
      </c>
    </row>
    <row r="1109" spans="1:25" x14ac:dyDescent="0.25">
      <c r="A1109" s="34">
        <f t="shared" si="276"/>
        <v>1101</v>
      </c>
      <c r="B1109" s="35">
        <f t="shared" si="276"/>
        <v>212</v>
      </c>
      <c r="C1109" s="42" t="s">
        <v>309</v>
      </c>
      <c r="D1109" s="44" t="s">
        <v>310</v>
      </c>
      <c r="E1109" s="43"/>
      <c r="F1109" s="36">
        <v>0.21779999999999999</v>
      </c>
      <c r="G1109" s="36">
        <v>4.2906600000000003E-2</v>
      </c>
      <c r="H1109" s="36">
        <v>9.4899999999999998E-2</v>
      </c>
      <c r="I1109" s="37">
        <v>1.4234999999999999E-2</v>
      </c>
      <c r="J1109" s="32">
        <f t="shared" si="272"/>
        <v>0.21115249999999999</v>
      </c>
      <c r="K1109" s="33">
        <f t="shared" si="275"/>
        <v>3.1672874999999996E-2</v>
      </c>
      <c r="L1109" s="33"/>
      <c r="O1109" s="2">
        <f t="shared" si="277"/>
        <v>3.9541666666666669E-2</v>
      </c>
      <c r="P1109" s="2">
        <f t="shared" si="278"/>
        <v>28.470000000000002</v>
      </c>
      <c r="Q1109" s="7">
        <f t="shared" si="279"/>
        <v>128.94021739130437</v>
      </c>
      <c r="R1109" s="2">
        <v>1.2</v>
      </c>
      <c r="S1109" s="2">
        <f t="shared" si="273"/>
        <v>4.45</v>
      </c>
      <c r="T1109" s="2"/>
      <c r="U1109" s="2"/>
      <c r="Y1109" s="8">
        <f t="shared" si="274"/>
        <v>4.5902717391304346</v>
      </c>
    </row>
    <row r="1110" spans="1:25" x14ac:dyDescent="0.25">
      <c r="A1110" s="34">
        <f t="shared" si="276"/>
        <v>1102</v>
      </c>
      <c r="B1110" s="35">
        <f t="shared" si="276"/>
        <v>213</v>
      </c>
      <c r="C1110" s="42" t="s">
        <v>309</v>
      </c>
      <c r="D1110" s="44" t="s">
        <v>311</v>
      </c>
      <c r="E1110" s="43">
        <v>1</v>
      </c>
      <c r="F1110" s="36">
        <v>0.1588</v>
      </c>
      <c r="G1110" s="36">
        <v>3.1283600000000002E-2</v>
      </c>
      <c r="H1110" s="36">
        <v>7.0800000000000002E-2</v>
      </c>
      <c r="I1110" s="37">
        <v>1.0619999999999999E-2</v>
      </c>
      <c r="J1110" s="32">
        <f t="shared" si="272"/>
        <v>0.15753</v>
      </c>
      <c r="K1110" s="33">
        <f t="shared" si="275"/>
        <v>2.3629500000000001E-2</v>
      </c>
      <c r="L1110" s="33"/>
      <c r="O1110" s="2">
        <f t="shared" si="277"/>
        <v>2.9500000000000002E-2</v>
      </c>
      <c r="P1110" s="2">
        <f t="shared" si="278"/>
        <v>21.240000000000002</v>
      </c>
      <c r="Q1110" s="7">
        <f t="shared" si="279"/>
        <v>96.195652173913061</v>
      </c>
      <c r="R1110" s="2">
        <v>1.2</v>
      </c>
      <c r="S1110" s="2">
        <f t="shared" si="273"/>
        <v>4.45</v>
      </c>
      <c r="T1110" s="2"/>
      <c r="U1110" s="2"/>
      <c r="Y1110" s="8">
        <f t="shared" si="274"/>
        <v>3.4245652173913044</v>
      </c>
    </row>
    <row r="1111" spans="1:25" x14ac:dyDescent="0.25">
      <c r="A1111" s="34">
        <f t="shared" si="276"/>
        <v>1103</v>
      </c>
      <c r="B1111" s="35">
        <f t="shared" si="276"/>
        <v>214</v>
      </c>
      <c r="C1111" s="42" t="s">
        <v>309</v>
      </c>
      <c r="D1111" s="44" t="s">
        <v>311</v>
      </c>
      <c r="E1111" s="43">
        <v>2</v>
      </c>
      <c r="F1111" s="36">
        <v>0.1588</v>
      </c>
      <c r="G1111" s="36">
        <v>3.1283600000000002E-2</v>
      </c>
      <c r="H1111" s="36">
        <v>7.0800000000000002E-2</v>
      </c>
      <c r="I1111" s="37">
        <v>1.0619999999999999E-2</v>
      </c>
      <c r="J1111" s="32">
        <f t="shared" si="272"/>
        <v>0.15753</v>
      </c>
      <c r="K1111" s="33">
        <f t="shared" si="275"/>
        <v>2.3629500000000001E-2</v>
      </c>
      <c r="L1111" s="33"/>
      <c r="O1111" s="2">
        <f t="shared" si="277"/>
        <v>2.9500000000000002E-2</v>
      </c>
      <c r="P1111" s="2">
        <f t="shared" si="278"/>
        <v>21.240000000000002</v>
      </c>
      <c r="Q1111" s="7">
        <f t="shared" si="279"/>
        <v>96.195652173913061</v>
      </c>
      <c r="R1111" s="2">
        <v>1.2</v>
      </c>
      <c r="S1111" s="2">
        <f t="shared" si="273"/>
        <v>4.45</v>
      </c>
      <c r="T1111" s="2"/>
      <c r="U1111" s="2"/>
      <c r="Y1111" s="8">
        <f t="shared" si="274"/>
        <v>3.4245652173913044</v>
      </c>
    </row>
    <row r="1112" spans="1:25" x14ac:dyDescent="0.25">
      <c r="A1112" s="34">
        <f t="shared" si="276"/>
        <v>1104</v>
      </c>
      <c r="B1112" s="35">
        <f t="shared" si="276"/>
        <v>215</v>
      </c>
      <c r="C1112" s="42" t="s">
        <v>309</v>
      </c>
      <c r="D1112" s="44" t="s">
        <v>263</v>
      </c>
      <c r="E1112" s="43">
        <v>1</v>
      </c>
      <c r="F1112" s="36">
        <v>0.17979999999999999</v>
      </c>
      <c r="G1112" s="36">
        <v>3.5420599999999997E-2</v>
      </c>
      <c r="H1112" s="36">
        <v>6.2100000000000002E-2</v>
      </c>
      <c r="I1112" s="37">
        <v>9.3150000000000004E-3</v>
      </c>
      <c r="J1112" s="32">
        <f t="shared" si="272"/>
        <v>0.1381725</v>
      </c>
      <c r="K1112" s="33">
        <f t="shared" si="275"/>
        <v>2.0725875000000001E-2</v>
      </c>
      <c r="L1112" s="33"/>
      <c r="O1112" s="2">
        <f t="shared" si="277"/>
        <v>2.5875000000000002E-2</v>
      </c>
      <c r="P1112" s="2">
        <f t="shared" si="278"/>
        <v>18.63</v>
      </c>
      <c r="Q1112" s="7">
        <f t="shared" si="279"/>
        <v>84.375</v>
      </c>
      <c r="R1112" s="2">
        <v>1.2</v>
      </c>
      <c r="S1112" s="2">
        <f t="shared" si="273"/>
        <v>4.45</v>
      </c>
      <c r="T1112" s="2"/>
      <c r="U1112" s="2"/>
      <c r="Y1112" s="8">
        <f t="shared" si="274"/>
        <v>3.0037499999999997</v>
      </c>
    </row>
    <row r="1113" spans="1:25" x14ac:dyDescent="0.25">
      <c r="A1113" s="34">
        <f t="shared" si="276"/>
        <v>1105</v>
      </c>
      <c r="B1113" s="35">
        <f t="shared" si="276"/>
        <v>216</v>
      </c>
      <c r="C1113" s="42" t="s">
        <v>309</v>
      </c>
      <c r="D1113" s="44" t="s">
        <v>263</v>
      </c>
      <c r="E1113" s="43">
        <v>2</v>
      </c>
      <c r="F1113" s="36">
        <v>0.17979999999999999</v>
      </c>
      <c r="G1113" s="36">
        <v>3.5420599999999997E-2</v>
      </c>
      <c r="H1113" s="36">
        <v>6.2100000000000002E-2</v>
      </c>
      <c r="I1113" s="37">
        <v>9.3150000000000004E-3</v>
      </c>
      <c r="J1113" s="32">
        <f t="shared" si="272"/>
        <v>0.1381725</v>
      </c>
      <c r="K1113" s="33">
        <f t="shared" si="275"/>
        <v>2.0725875000000001E-2</v>
      </c>
      <c r="L1113" s="33"/>
      <c r="O1113" s="2">
        <f t="shared" si="277"/>
        <v>2.5875000000000002E-2</v>
      </c>
      <c r="P1113" s="2">
        <f t="shared" si="278"/>
        <v>18.63</v>
      </c>
      <c r="Q1113" s="7">
        <f t="shared" si="279"/>
        <v>84.375</v>
      </c>
      <c r="R1113" s="2">
        <v>1.2</v>
      </c>
      <c r="S1113" s="2">
        <f t="shared" si="273"/>
        <v>4.45</v>
      </c>
      <c r="T1113" s="2"/>
      <c r="U1113" s="2"/>
      <c r="Y1113" s="8">
        <f t="shared" si="274"/>
        <v>3.0037499999999997</v>
      </c>
    </row>
    <row r="1114" spans="1:25" x14ac:dyDescent="0.25">
      <c r="A1114" s="34">
        <f t="shared" si="276"/>
        <v>1106</v>
      </c>
      <c r="B1114" s="35">
        <f t="shared" si="276"/>
        <v>217</v>
      </c>
      <c r="C1114" s="42" t="s">
        <v>309</v>
      </c>
      <c r="D1114" s="44" t="s">
        <v>263</v>
      </c>
      <c r="E1114" s="43">
        <v>3</v>
      </c>
      <c r="F1114" s="36">
        <v>0.17979999999999999</v>
      </c>
      <c r="G1114" s="36">
        <v>3.5420599999999997E-2</v>
      </c>
      <c r="H1114" s="36">
        <v>6.2100000000000002E-2</v>
      </c>
      <c r="I1114" s="37">
        <v>9.3150000000000004E-3</v>
      </c>
      <c r="J1114" s="32">
        <f t="shared" si="272"/>
        <v>0.1381725</v>
      </c>
      <c r="K1114" s="33">
        <f t="shared" si="275"/>
        <v>2.0725875000000001E-2</v>
      </c>
      <c r="L1114" s="33"/>
      <c r="O1114" s="2">
        <f t="shared" si="277"/>
        <v>2.5875000000000002E-2</v>
      </c>
      <c r="P1114" s="2">
        <f t="shared" si="278"/>
        <v>18.63</v>
      </c>
      <c r="Q1114" s="7">
        <f t="shared" si="279"/>
        <v>84.375</v>
      </c>
      <c r="R1114" s="2">
        <v>1.2</v>
      </c>
      <c r="S1114" s="2">
        <f t="shared" si="273"/>
        <v>4.45</v>
      </c>
      <c r="T1114" s="2"/>
      <c r="U1114" s="2"/>
      <c r="Y1114" s="8">
        <f t="shared" si="274"/>
        <v>3.0037499999999997</v>
      </c>
    </row>
    <row r="1115" spans="1:25" x14ac:dyDescent="0.25">
      <c r="A1115" s="34">
        <f t="shared" ref="A1115:B1130" si="280">A1114+1</f>
        <v>1107</v>
      </c>
      <c r="B1115" s="35">
        <f t="shared" si="280"/>
        <v>218</v>
      </c>
      <c r="C1115" s="42" t="s">
        <v>309</v>
      </c>
      <c r="D1115" s="44" t="s">
        <v>312</v>
      </c>
      <c r="E1115" s="43">
        <v>1</v>
      </c>
      <c r="F1115" s="36">
        <v>0.1588</v>
      </c>
      <c r="G1115" s="36">
        <v>3.1283600000000002E-2</v>
      </c>
      <c r="H1115" s="36">
        <v>7.0999999999999994E-2</v>
      </c>
      <c r="I1115" s="37">
        <v>1.065E-2</v>
      </c>
      <c r="J1115" s="32">
        <f t="shared" si="272"/>
        <v>0.157975</v>
      </c>
      <c r="K1115" s="33">
        <f t="shared" si="275"/>
        <v>2.3696249999999999E-2</v>
      </c>
      <c r="L1115" s="33"/>
      <c r="O1115" s="2">
        <f t="shared" si="277"/>
        <v>2.9583333333333333E-2</v>
      </c>
      <c r="P1115" s="2">
        <f t="shared" si="278"/>
        <v>21.299999999999997</v>
      </c>
      <c r="Q1115" s="7">
        <f t="shared" si="279"/>
        <v>96.467391304347814</v>
      </c>
      <c r="R1115" s="2">
        <v>1.2</v>
      </c>
      <c r="S1115" s="2">
        <f t="shared" si="273"/>
        <v>4.45</v>
      </c>
      <c r="T1115" s="2"/>
      <c r="U1115" s="2"/>
      <c r="Y1115" s="8">
        <f t="shared" si="274"/>
        <v>3.4342391304347828</v>
      </c>
    </row>
    <row r="1116" spans="1:25" x14ac:dyDescent="0.25">
      <c r="A1116" s="34">
        <f t="shared" si="280"/>
        <v>1108</v>
      </c>
      <c r="B1116" s="35">
        <f t="shared" si="280"/>
        <v>219</v>
      </c>
      <c r="C1116" s="42" t="s">
        <v>309</v>
      </c>
      <c r="D1116" s="44" t="s">
        <v>312</v>
      </c>
      <c r="E1116" s="43">
        <v>2</v>
      </c>
      <c r="F1116" s="36">
        <v>0.1588</v>
      </c>
      <c r="G1116" s="36">
        <v>3.1283600000000002E-2</v>
      </c>
      <c r="H1116" s="36">
        <v>7.0999999999999994E-2</v>
      </c>
      <c r="I1116" s="37">
        <v>1.065E-2</v>
      </c>
      <c r="J1116" s="32">
        <f t="shared" si="272"/>
        <v>0.157975</v>
      </c>
      <c r="K1116" s="33">
        <f t="shared" si="275"/>
        <v>2.3696249999999999E-2</v>
      </c>
      <c r="L1116" s="33"/>
      <c r="O1116" s="2">
        <f t="shared" si="277"/>
        <v>2.9583333333333333E-2</v>
      </c>
      <c r="P1116" s="2">
        <f t="shared" si="278"/>
        <v>21.299999999999997</v>
      </c>
      <c r="Q1116" s="7">
        <f t="shared" si="279"/>
        <v>96.467391304347814</v>
      </c>
      <c r="R1116" s="2">
        <v>1.2</v>
      </c>
      <c r="S1116" s="2">
        <f t="shared" si="273"/>
        <v>4.45</v>
      </c>
      <c r="T1116" s="2"/>
      <c r="U1116" s="2"/>
      <c r="Y1116" s="8">
        <f t="shared" si="274"/>
        <v>3.4342391304347828</v>
      </c>
    </row>
    <row r="1117" spans="1:25" x14ac:dyDescent="0.25">
      <c r="A1117" s="34">
        <f t="shared" si="280"/>
        <v>1109</v>
      </c>
      <c r="B1117" s="35">
        <f t="shared" si="280"/>
        <v>220</v>
      </c>
      <c r="C1117" s="42" t="s">
        <v>309</v>
      </c>
      <c r="D1117" s="44" t="s">
        <v>313</v>
      </c>
      <c r="E1117" s="43">
        <v>1</v>
      </c>
      <c r="F1117" s="36">
        <v>0.13400000000000001</v>
      </c>
      <c r="G1117" s="36">
        <v>2.6398000000000001E-2</v>
      </c>
      <c r="H1117" s="36">
        <v>6.3200000000000006E-2</v>
      </c>
      <c r="I1117" s="37">
        <v>9.4800000000000006E-3</v>
      </c>
      <c r="J1117" s="32">
        <f t="shared" si="272"/>
        <v>0.14062000000000002</v>
      </c>
      <c r="K1117" s="33">
        <f t="shared" si="275"/>
        <v>2.1093000000000004E-2</v>
      </c>
      <c r="L1117" s="33"/>
      <c r="O1117" s="2">
        <f t="shared" si="277"/>
        <v>2.6333333333333337E-2</v>
      </c>
      <c r="P1117" s="2">
        <f t="shared" si="278"/>
        <v>18.960000000000004</v>
      </c>
      <c r="Q1117" s="7">
        <f t="shared" si="279"/>
        <v>85.869565217391326</v>
      </c>
      <c r="R1117" s="2">
        <v>1.2</v>
      </c>
      <c r="S1117" s="2">
        <f t="shared" si="273"/>
        <v>4.45</v>
      </c>
      <c r="T1117" s="2"/>
      <c r="U1117" s="2"/>
      <c r="Y1117" s="8">
        <f t="shared" si="274"/>
        <v>3.056956521739131</v>
      </c>
    </row>
    <row r="1118" spans="1:25" x14ac:dyDescent="0.25">
      <c r="A1118" s="34">
        <f t="shared" si="280"/>
        <v>1110</v>
      </c>
      <c r="B1118" s="35">
        <f t="shared" si="280"/>
        <v>221</v>
      </c>
      <c r="C1118" s="42" t="s">
        <v>309</v>
      </c>
      <c r="D1118" s="44" t="s">
        <v>313</v>
      </c>
      <c r="E1118" s="43">
        <v>2</v>
      </c>
      <c r="F1118" s="36">
        <v>0.13400000000000001</v>
      </c>
      <c r="G1118" s="36">
        <v>2.6398000000000001E-2</v>
      </c>
      <c r="H1118" s="36">
        <v>6.3200000000000006E-2</v>
      </c>
      <c r="I1118" s="37">
        <v>9.4800000000000006E-3</v>
      </c>
      <c r="J1118" s="32">
        <f t="shared" si="272"/>
        <v>0.14062000000000002</v>
      </c>
      <c r="K1118" s="33">
        <f t="shared" si="275"/>
        <v>2.1093000000000004E-2</v>
      </c>
      <c r="L1118" s="33"/>
      <c r="O1118" s="2">
        <f t="shared" si="277"/>
        <v>2.6333333333333337E-2</v>
      </c>
      <c r="P1118" s="2">
        <f t="shared" si="278"/>
        <v>18.960000000000004</v>
      </c>
      <c r="Q1118" s="7">
        <f t="shared" si="279"/>
        <v>85.869565217391326</v>
      </c>
      <c r="R1118" s="2">
        <v>1.2</v>
      </c>
      <c r="S1118" s="2">
        <f t="shared" si="273"/>
        <v>4.45</v>
      </c>
      <c r="T1118" s="2"/>
      <c r="U1118" s="2"/>
      <c r="Y1118" s="8">
        <f t="shared" si="274"/>
        <v>3.056956521739131</v>
      </c>
    </row>
    <row r="1119" spans="1:25" x14ac:dyDescent="0.25">
      <c r="A1119" s="34">
        <f t="shared" si="280"/>
        <v>1111</v>
      </c>
      <c r="B1119" s="35">
        <f t="shared" si="280"/>
        <v>222</v>
      </c>
      <c r="C1119" s="42" t="s">
        <v>309</v>
      </c>
      <c r="D1119" s="44" t="s">
        <v>314</v>
      </c>
      <c r="E1119" s="43">
        <v>1</v>
      </c>
      <c r="F1119" s="36">
        <v>0.1615</v>
      </c>
      <c r="G1119" s="36">
        <v>3.1815499999999997E-2</v>
      </c>
      <c r="H1119" s="36">
        <v>6.93E-2</v>
      </c>
      <c r="I1119" s="37">
        <v>1.0395E-2</v>
      </c>
      <c r="J1119" s="32">
        <f t="shared" si="272"/>
        <v>0.15419250000000001</v>
      </c>
      <c r="K1119" s="33">
        <f t="shared" si="275"/>
        <v>2.3128875E-2</v>
      </c>
      <c r="L1119" s="33"/>
      <c r="O1119" s="2">
        <f t="shared" si="277"/>
        <v>2.8875000000000001E-2</v>
      </c>
      <c r="P1119" s="2">
        <f t="shared" si="278"/>
        <v>20.790000000000003</v>
      </c>
      <c r="Q1119" s="7">
        <f t="shared" si="279"/>
        <v>94.157608695652186</v>
      </c>
      <c r="R1119" s="2">
        <v>1.2</v>
      </c>
      <c r="S1119" s="2">
        <f t="shared" si="273"/>
        <v>4.45</v>
      </c>
      <c r="T1119" s="2"/>
      <c r="U1119" s="2"/>
      <c r="Y1119" s="8">
        <f t="shared" si="274"/>
        <v>3.3520108695652175</v>
      </c>
    </row>
    <row r="1120" spans="1:25" x14ac:dyDescent="0.25">
      <c r="A1120" s="34">
        <f t="shared" si="280"/>
        <v>1112</v>
      </c>
      <c r="B1120" s="35">
        <f t="shared" si="280"/>
        <v>223</v>
      </c>
      <c r="C1120" s="42" t="s">
        <v>309</v>
      </c>
      <c r="D1120" s="44" t="s">
        <v>314</v>
      </c>
      <c r="E1120" s="43">
        <v>2</v>
      </c>
      <c r="F1120" s="36">
        <v>0.1615</v>
      </c>
      <c r="G1120" s="36">
        <v>3.1815499999999997E-2</v>
      </c>
      <c r="H1120" s="36">
        <v>6.93E-2</v>
      </c>
      <c r="I1120" s="37">
        <v>1.0395E-2</v>
      </c>
      <c r="J1120" s="32">
        <f t="shared" si="272"/>
        <v>0.15419250000000001</v>
      </c>
      <c r="K1120" s="33">
        <f t="shared" si="275"/>
        <v>2.3128875E-2</v>
      </c>
      <c r="L1120" s="33"/>
      <c r="O1120" s="2">
        <f t="shared" si="277"/>
        <v>2.8875000000000001E-2</v>
      </c>
      <c r="P1120" s="2">
        <f t="shared" si="278"/>
        <v>20.790000000000003</v>
      </c>
      <c r="Q1120" s="7">
        <f t="shared" si="279"/>
        <v>94.157608695652186</v>
      </c>
      <c r="R1120" s="2">
        <v>1.2</v>
      </c>
      <c r="S1120" s="2">
        <f t="shared" si="273"/>
        <v>4.45</v>
      </c>
      <c r="T1120" s="2"/>
      <c r="U1120" s="2"/>
      <c r="Y1120" s="8">
        <f t="shared" si="274"/>
        <v>3.3520108695652175</v>
      </c>
    </row>
    <row r="1121" spans="1:25" x14ac:dyDescent="0.25">
      <c r="A1121" s="34">
        <f t="shared" si="280"/>
        <v>1113</v>
      </c>
      <c r="B1121" s="35">
        <f t="shared" si="280"/>
        <v>224</v>
      </c>
      <c r="C1121" s="42" t="s">
        <v>309</v>
      </c>
      <c r="D1121" s="44" t="s">
        <v>314</v>
      </c>
      <c r="E1121" s="43">
        <v>3</v>
      </c>
      <c r="F1121" s="36">
        <v>0.1615</v>
      </c>
      <c r="G1121" s="36">
        <v>3.1815499999999997E-2</v>
      </c>
      <c r="H1121" s="36">
        <v>6.93E-2</v>
      </c>
      <c r="I1121" s="37">
        <v>1.0395E-2</v>
      </c>
      <c r="J1121" s="32">
        <f t="shared" si="272"/>
        <v>0.15419250000000001</v>
      </c>
      <c r="K1121" s="33">
        <f t="shared" si="275"/>
        <v>2.3128875E-2</v>
      </c>
      <c r="L1121" s="33"/>
      <c r="O1121" s="2">
        <f t="shared" si="277"/>
        <v>2.8875000000000001E-2</v>
      </c>
      <c r="P1121" s="2">
        <f t="shared" si="278"/>
        <v>20.790000000000003</v>
      </c>
      <c r="Q1121" s="7">
        <f t="shared" si="279"/>
        <v>94.157608695652186</v>
      </c>
      <c r="R1121" s="2">
        <v>1.2</v>
      </c>
      <c r="S1121" s="2">
        <f t="shared" si="273"/>
        <v>4.45</v>
      </c>
      <c r="T1121" s="2"/>
      <c r="U1121" s="2"/>
      <c r="Y1121" s="8">
        <f t="shared" si="274"/>
        <v>3.3520108695652175</v>
      </c>
    </row>
    <row r="1122" spans="1:25" x14ac:dyDescent="0.25">
      <c r="A1122" s="34">
        <f t="shared" si="280"/>
        <v>1114</v>
      </c>
      <c r="B1122" s="35">
        <f t="shared" si="280"/>
        <v>225</v>
      </c>
      <c r="C1122" s="42" t="s">
        <v>309</v>
      </c>
      <c r="D1122" s="44" t="s">
        <v>315</v>
      </c>
      <c r="E1122" s="43">
        <v>1</v>
      </c>
      <c r="F1122" s="36">
        <v>0.13400000000000001</v>
      </c>
      <c r="G1122" s="36">
        <v>2.6398000000000001E-2</v>
      </c>
      <c r="H1122" s="36">
        <v>5.7000000000000002E-2</v>
      </c>
      <c r="I1122" s="37">
        <v>8.5500000000000003E-3</v>
      </c>
      <c r="J1122" s="32">
        <f t="shared" si="272"/>
        <v>0.12682499999999999</v>
      </c>
      <c r="K1122" s="33">
        <f t="shared" si="275"/>
        <v>1.9023749999999999E-2</v>
      </c>
      <c r="L1122" s="33"/>
      <c r="O1122" s="2">
        <f t="shared" si="277"/>
        <v>2.375E-2</v>
      </c>
      <c r="P1122" s="2">
        <f t="shared" si="278"/>
        <v>17.100000000000001</v>
      </c>
      <c r="Q1122" s="7">
        <f t="shared" si="279"/>
        <v>77.445652173913047</v>
      </c>
      <c r="R1122" s="2">
        <v>1.2</v>
      </c>
      <c r="S1122" s="2">
        <f t="shared" si="273"/>
        <v>4.45</v>
      </c>
      <c r="T1122" s="2"/>
      <c r="U1122" s="2"/>
      <c r="Y1122" s="8">
        <f t="shared" si="274"/>
        <v>2.7570652173913039</v>
      </c>
    </row>
    <row r="1123" spans="1:25" x14ac:dyDescent="0.25">
      <c r="A1123" s="34">
        <f t="shared" si="280"/>
        <v>1115</v>
      </c>
      <c r="B1123" s="35">
        <f t="shared" si="280"/>
        <v>226</v>
      </c>
      <c r="C1123" s="42" t="s">
        <v>309</v>
      </c>
      <c r="D1123" s="44" t="s">
        <v>315</v>
      </c>
      <c r="E1123" s="43">
        <v>2</v>
      </c>
      <c r="F1123" s="36">
        <v>0.13400000000000001</v>
      </c>
      <c r="G1123" s="36">
        <v>2.6398000000000001E-2</v>
      </c>
      <c r="H1123" s="36">
        <v>5.7000000000000002E-2</v>
      </c>
      <c r="I1123" s="37">
        <v>8.5500000000000003E-3</v>
      </c>
      <c r="J1123" s="32">
        <f t="shared" si="272"/>
        <v>0.12682499999999999</v>
      </c>
      <c r="K1123" s="33">
        <f t="shared" si="275"/>
        <v>1.9023749999999999E-2</v>
      </c>
      <c r="L1123" s="33"/>
      <c r="O1123" s="2">
        <f t="shared" si="277"/>
        <v>2.375E-2</v>
      </c>
      <c r="P1123" s="2">
        <f t="shared" si="278"/>
        <v>17.100000000000001</v>
      </c>
      <c r="Q1123" s="7">
        <f t="shared" si="279"/>
        <v>77.445652173913047</v>
      </c>
      <c r="R1123" s="2">
        <v>1.2</v>
      </c>
      <c r="S1123" s="2">
        <f t="shared" si="273"/>
        <v>4.45</v>
      </c>
      <c r="T1123" s="2"/>
      <c r="U1123" s="2"/>
      <c r="Y1123" s="8">
        <f t="shared" si="274"/>
        <v>2.7570652173913039</v>
      </c>
    </row>
    <row r="1124" spans="1:25" x14ac:dyDescent="0.25">
      <c r="A1124" s="34">
        <f t="shared" si="280"/>
        <v>1116</v>
      </c>
      <c r="B1124" s="35">
        <f t="shared" si="280"/>
        <v>227</v>
      </c>
      <c r="C1124" s="40" t="s">
        <v>316</v>
      </c>
      <c r="D1124" s="41" t="s">
        <v>170</v>
      </c>
      <c r="E1124" s="35"/>
      <c r="F1124" s="36">
        <v>0.21510000000000001</v>
      </c>
      <c r="G1124" s="36">
        <f t="shared" ref="G1124:G1130" si="281">F1124*0.197</f>
        <v>4.2374700000000001E-2</v>
      </c>
      <c r="H1124" s="36">
        <v>5.3699999999999998E-2</v>
      </c>
      <c r="I1124" s="37">
        <f t="shared" ref="I1124:I1133" si="282">H1124*0.15</f>
        <v>8.0549999999999997E-3</v>
      </c>
      <c r="J1124" s="32">
        <f t="shared" si="272"/>
        <v>0.11948250000000001</v>
      </c>
      <c r="K1124" s="33">
        <f t="shared" si="275"/>
        <v>1.7922375000000001E-2</v>
      </c>
      <c r="L1124" s="33"/>
      <c r="O1124" s="2">
        <f t="shared" si="277"/>
        <v>2.2374999999999999E-2</v>
      </c>
      <c r="P1124" s="2">
        <f t="shared" si="278"/>
        <v>16.11</v>
      </c>
      <c r="Q1124" s="7">
        <f t="shared" si="279"/>
        <v>72.961956521739125</v>
      </c>
      <c r="R1124" s="2">
        <v>1.2</v>
      </c>
      <c r="S1124" s="2">
        <f t="shared" si="273"/>
        <v>4.45</v>
      </c>
      <c r="T1124" s="2"/>
      <c r="U1124" s="2"/>
      <c r="Y1124" s="8">
        <f t="shared" si="274"/>
        <v>2.5974456521739131</v>
      </c>
    </row>
    <row r="1125" spans="1:25" x14ac:dyDescent="0.25">
      <c r="A1125" s="34">
        <f t="shared" si="280"/>
        <v>1117</v>
      </c>
      <c r="C1125" s="40" t="s">
        <v>316</v>
      </c>
      <c r="D1125" s="43">
        <v>3</v>
      </c>
      <c r="E1125" s="43"/>
      <c r="F1125" s="36">
        <v>0.99609999999999999</v>
      </c>
      <c r="G1125" s="36">
        <v>0.19623170000000001</v>
      </c>
      <c r="H1125" s="36">
        <v>3.175E-2</v>
      </c>
      <c r="I1125" s="37">
        <f t="shared" si="282"/>
        <v>4.7625000000000002E-3</v>
      </c>
      <c r="J1125" s="32">
        <f t="shared" si="272"/>
        <v>7.0643750000000005E-2</v>
      </c>
      <c r="K1125" s="33">
        <f t="shared" si="275"/>
        <v>1.05965625E-2</v>
      </c>
      <c r="L1125" s="33"/>
      <c r="O1125" s="2">
        <f t="shared" si="277"/>
        <v>1.3229166666666667E-2</v>
      </c>
      <c r="P1125" s="2">
        <f t="shared" si="278"/>
        <v>9.5250000000000004</v>
      </c>
      <c r="Q1125" s="7">
        <f t="shared" si="279"/>
        <v>43.138586956521742</v>
      </c>
      <c r="R1125" s="2">
        <v>1.2</v>
      </c>
      <c r="S1125" s="2">
        <f t="shared" si="273"/>
        <v>4.45</v>
      </c>
      <c r="T1125" s="2"/>
      <c r="U1125" s="2"/>
      <c r="Y1125" s="8">
        <f t="shared" si="274"/>
        <v>1.5357336956521739</v>
      </c>
    </row>
    <row r="1126" spans="1:25" x14ac:dyDescent="0.25">
      <c r="A1126" s="34">
        <f t="shared" si="280"/>
        <v>1118</v>
      </c>
      <c r="B1126" s="35">
        <f>B1124+1</f>
        <v>228</v>
      </c>
      <c r="C1126" s="40" t="s">
        <v>316</v>
      </c>
      <c r="D1126" s="41" t="s">
        <v>48</v>
      </c>
      <c r="E1126" s="35"/>
      <c r="F1126" s="36">
        <v>0.215</v>
      </c>
      <c r="G1126" s="36">
        <f t="shared" si="281"/>
        <v>4.2355000000000004E-2</v>
      </c>
      <c r="H1126" s="36">
        <v>7.0650000000000004E-2</v>
      </c>
      <c r="I1126" s="37">
        <f t="shared" si="282"/>
        <v>1.0597500000000001E-2</v>
      </c>
      <c r="J1126" s="32">
        <f t="shared" si="272"/>
        <v>0.15719625000000001</v>
      </c>
      <c r="K1126" s="33">
        <f t="shared" si="275"/>
        <v>2.3579437500000001E-2</v>
      </c>
      <c r="L1126" s="33"/>
      <c r="O1126" s="2">
        <f t="shared" si="277"/>
        <v>2.9437500000000002E-2</v>
      </c>
      <c r="P1126" s="2">
        <f t="shared" si="278"/>
        <v>21.195</v>
      </c>
      <c r="Q1126" s="7">
        <f t="shared" si="279"/>
        <v>95.991847826086953</v>
      </c>
      <c r="R1126" s="2">
        <v>1.2</v>
      </c>
      <c r="S1126" s="2">
        <f t="shared" si="273"/>
        <v>4.45</v>
      </c>
      <c r="T1126" s="2"/>
      <c r="U1126" s="2"/>
      <c r="Y1126" s="8">
        <f t="shared" si="274"/>
        <v>3.417309782608696</v>
      </c>
    </row>
    <row r="1127" spans="1:25" x14ac:dyDescent="0.25">
      <c r="A1127" s="34">
        <f t="shared" si="280"/>
        <v>1119</v>
      </c>
      <c r="B1127" s="35">
        <f>B1126+1</f>
        <v>229</v>
      </c>
      <c r="C1127" s="40" t="s">
        <v>316</v>
      </c>
      <c r="D1127" s="41" t="s">
        <v>75</v>
      </c>
      <c r="E1127" s="35"/>
      <c r="F1127" s="36">
        <v>0.2109</v>
      </c>
      <c r="G1127" s="36">
        <f t="shared" si="281"/>
        <v>4.1547300000000002E-2</v>
      </c>
      <c r="H1127" s="36">
        <v>6.6900000000000001E-2</v>
      </c>
      <c r="I1127" s="37">
        <f t="shared" si="282"/>
        <v>1.0035000000000001E-2</v>
      </c>
      <c r="J1127" s="32">
        <f t="shared" si="272"/>
        <v>0.1488525</v>
      </c>
      <c r="K1127" s="33">
        <f t="shared" si="275"/>
        <v>2.2327875E-2</v>
      </c>
      <c r="L1127" s="33"/>
      <c r="O1127" s="2">
        <f t="shared" si="277"/>
        <v>2.7875E-2</v>
      </c>
      <c r="P1127" s="2">
        <f t="shared" si="278"/>
        <v>20.07</v>
      </c>
      <c r="Q1127" s="7">
        <f t="shared" si="279"/>
        <v>90.896739130434781</v>
      </c>
      <c r="R1127" s="2">
        <v>1.2</v>
      </c>
      <c r="S1127" s="2">
        <f t="shared" si="273"/>
        <v>4.45</v>
      </c>
      <c r="T1127" s="2"/>
      <c r="U1127" s="2"/>
      <c r="Y1127" s="8">
        <f t="shared" si="274"/>
        <v>3.2359239130434783</v>
      </c>
    </row>
    <row r="1128" spans="1:25" x14ac:dyDescent="0.25">
      <c r="A1128" s="34">
        <f t="shared" si="280"/>
        <v>1120</v>
      </c>
      <c r="B1128" s="35">
        <f>B1127+1</f>
        <v>230</v>
      </c>
      <c r="C1128" s="40" t="s">
        <v>316</v>
      </c>
      <c r="D1128" s="41" t="s">
        <v>317</v>
      </c>
      <c r="E1128" s="35"/>
      <c r="F1128" s="36">
        <v>0.2109</v>
      </c>
      <c r="G1128" s="36">
        <f t="shared" si="281"/>
        <v>4.1547300000000002E-2</v>
      </c>
      <c r="H1128" s="36">
        <v>5.96E-2</v>
      </c>
      <c r="I1128" s="37">
        <f t="shared" si="282"/>
        <v>8.94E-3</v>
      </c>
      <c r="J1128" s="32">
        <f t="shared" si="272"/>
        <v>0.13261000000000001</v>
      </c>
      <c r="K1128" s="33">
        <f t="shared" si="275"/>
        <v>1.9891499999999999E-2</v>
      </c>
      <c r="L1128" s="33"/>
      <c r="O1128" s="2">
        <f t="shared" si="277"/>
        <v>2.4833333333333336E-2</v>
      </c>
      <c r="P1128" s="2">
        <f t="shared" si="278"/>
        <v>17.880000000000003</v>
      </c>
      <c r="Q1128" s="7">
        <f t="shared" si="279"/>
        <v>80.978260869565233</v>
      </c>
      <c r="R1128" s="2">
        <v>1.2</v>
      </c>
      <c r="S1128" s="2">
        <f t="shared" si="273"/>
        <v>4.45</v>
      </c>
      <c r="T1128" s="2"/>
      <c r="U1128" s="2"/>
      <c r="Y1128" s="8">
        <f t="shared" si="274"/>
        <v>2.8828260869565221</v>
      </c>
    </row>
    <row r="1129" spans="1:25" x14ac:dyDescent="0.25">
      <c r="A1129" s="34">
        <f t="shared" si="280"/>
        <v>1121</v>
      </c>
      <c r="B1129" s="35">
        <f>B1128+1</f>
        <v>231</v>
      </c>
      <c r="C1129" s="40" t="s">
        <v>318</v>
      </c>
      <c r="D1129" s="41" t="s">
        <v>319</v>
      </c>
      <c r="E1129" s="35"/>
      <c r="F1129" s="36">
        <v>0.18079999999999999</v>
      </c>
      <c r="G1129" s="36">
        <f t="shared" si="281"/>
        <v>3.5617599999999999E-2</v>
      </c>
      <c r="H1129" s="36">
        <v>6.4030000000000004E-2</v>
      </c>
      <c r="I1129" s="37">
        <f t="shared" si="282"/>
        <v>9.6045000000000002E-3</v>
      </c>
      <c r="J1129" s="32">
        <f t="shared" si="272"/>
        <v>0.14246675</v>
      </c>
      <c r="K1129" s="33">
        <f t="shared" si="275"/>
        <v>2.13700125E-2</v>
      </c>
      <c r="L1129" s="33"/>
      <c r="O1129" s="2">
        <f t="shared" si="277"/>
        <v>2.667916666666667E-2</v>
      </c>
      <c r="P1129" s="2">
        <f t="shared" si="278"/>
        <v>19.209000000000003</v>
      </c>
      <c r="Q1129" s="7">
        <f t="shared" si="279"/>
        <v>86.99728260869567</v>
      </c>
      <c r="R1129" s="2">
        <v>1.2</v>
      </c>
      <c r="S1129" s="2">
        <f t="shared" si="273"/>
        <v>4.45</v>
      </c>
      <c r="T1129" s="2"/>
      <c r="U1129" s="2"/>
      <c r="Y1129" s="8">
        <f t="shared" si="274"/>
        <v>3.0971032608695657</v>
      </c>
    </row>
    <row r="1130" spans="1:25" x14ac:dyDescent="0.25">
      <c r="A1130" s="34">
        <f t="shared" si="280"/>
        <v>1122</v>
      </c>
      <c r="B1130" s="35">
        <f>B1129+1</f>
        <v>232</v>
      </c>
      <c r="C1130" s="40" t="s">
        <v>318</v>
      </c>
      <c r="D1130" s="41" t="s">
        <v>320</v>
      </c>
      <c r="E1130" s="35"/>
      <c r="F1130" s="36">
        <v>0.18870000000000001</v>
      </c>
      <c r="G1130" s="36">
        <f t="shared" si="281"/>
        <v>3.7173900000000003E-2</v>
      </c>
      <c r="H1130" s="36">
        <v>5.96E-2</v>
      </c>
      <c r="I1130" s="37">
        <f t="shared" si="282"/>
        <v>8.94E-3</v>
      </c>
      <c r="J1130" s="32">
        <f t="shared" si="272"/>
        <v>0.13261000000000001</v>
      </c>
      <c r="K1130" s="33">
        <f t="shared" si="275"/>
        <v>1.9891499999999999E-2</v>
      </c>
      <c r="L1130" s="33"/>
      <c r="O1130" s="2">
        <f t="shared" si="277"/>
        <v>2.4833333333333336E-2</v>
      </c>
      <c r="P1130" s="2">
        <f t="shared" si="278"/>
        <v>17.880000000000003</v>
      </c>
      <c r="Q1130" s="7">
        <f t="shared" si="279"/>
        <v>80.978260869565233</v>
      </c>
      <c r="R1130" s="2">
        <v>1.2</v>
      </c>
      <c r="S1130" s="2">
        <f t="shared" si="273"/>
        <v>4.45</v>
      </c>
      <c r="T1130" s="2"/>
      <c r="U1130" s="2"/>
      <c r="Y1130" s="8">
        <f t="shared" si="274"/>
        <v>2.8828260869565221</v>
      </c>
    </row>
    <row r="1131" spans="1:25" x14ac:dyDescent="0.25">
      <c r="A1131" s="34">
        <f t="shared" ref="A1131:B1146" si="283">A1130+1</f>
        <v>1123</v>
      </c>
      <c r="B1131" s="35"/>
      <c r="C1131" s="40" t="s">
        <v>318</v>
      </c>
      <c r="D1131" s="43">
        <v>224</v>
      </c>
      <c r="E1131" s="43"/>
      <c r="F1131" s="36">
        <v>0.184253</v>
      </c>
      <c r="G1131" s="36">
        <v>3.6297840999999997E-2</v>
      </c>
      <c r="H1131" s="36">
        <v>5.3650000000000003E-2</v>
      </c>
      <c r="I1131" s="37">
        <f t="shared" si="282"/>
        <v>8.0475000000000008E-3</v>
      </c>
      <c r="J1131" s="32">
        <f t="shared" si="272"/>
        <v>0.11937125000000001</v>
      </c>
      <c r="K1131" s="33">
        <f t="shared" si="275"/>
        <v>1.79056875E-2</v>
      </c>
      <c r="L1131" s="33"/>
      <c r="O1131" s="2">
        <f t="shared" si="277"/>
        <v>2.2354166666666668E-2</v>
      </c>
      <c r="P1131" s="2">
        <f t="shared" si="278"/>
        <v>16.094999999999999</v>
      </c>
      <c r="Q1131" s="7">
        <f t="shared" si="279"/>
        <v>72.894021739130437</v>
      </c>
      <c r="R1131" s="2">
        <v>1.2</v>
      </c>
      <c r="S1131" s="2">
        <f t="shared" si="273"/>
        <v>4.45</v>
      </c>
      <c r="T1131" s="2"/>
      <c r="U1131" s="2"/>
      <c r="Y1131" s="8">
        <f t="shared" si="274"/>
        <v>2.5950271739130439</v>
      </c>
    </row>
    <row r="1132" spans="1:25" x14ac:dyDescent="0.25">
      <c r="A1132" s="34">
        <f t="shared" si="283"/>
        <v>1124</v>
      </c>
      <c r="B1132" s="35">
        <f>B1130+1</f>
        <v>233</v>
      </c>
      <c r="C1132" s="42" t="s">
        <v>321</v>
      </c>
      <c r="D1132" s="43">
        <v>64</v>
      </c>
      <c r="E1132" s="43"/>
      <c r="F1132" s="36">
        <v>0.1653</v>
      </c>
      <c r="G1132" s="36">
        <v>3.2564099999999999E-2</v>
      </c>
      <c r="H1132" s="36">
        <v>6.7699999999999996E-2</v>
      </c>
      <c r="I1132" s="37">
        <f t="shared" si="282"/>
        <v>1.0154999999999999E-2</v>
      </c>
      <c r="J1132" s="32">
        <f t="shared" si="272"/>
        <v>0.1506325</v>
      </c>
      <c r="K1132" s="33">
        <f t="shared" si="275"/>
        <v>2.2594875E-2</v>
      </c>
      <c r="L1132" s="33"/>
      <c r="O1132" s="2">
        <f t="shared" si="277"/>
        <v>2.8208333333333332E-2</v>
      </c>
      <c r="P1132" s="2">
        <f t="shared" si="278"/>
        <v>20.309999999999999</v>
      </c>
      <c r="Q1132" s="7">
        <f t="shared" si="279"/>
        <v>91.983695652173907</v>
      </c>
      <c r="R1132" s="2">
        <v>1.2</v>
      </c>
      <c r="S1132" s="2">
        <f t="shared" si="273"/>
        <v>4.45</v>
      </c>
      <c r="T1132" s="2"/>
      <c r="U1132" s="2"/>
      <c r="Y1132" s="8">
        <f t="shared" si="274"/>
        <v>3.2746195652173915</v>
      </c>
    </row>
    <row r="1133" spans="1:25" x14ac:dyDescent="0.25">
      <c r="A1133" s="34">
        <f t="shared" si="283"/>
        <v>1125</v>
      </c>
      <c r="B1133" s="35">
        <f>B1132+1</f>
        <v>234</v>
      </c>
      <c r="C1133" s="42" t="s">
        <v>321</v>
      </c>
      <c r="D1133" s="43">
        <v>83</v>
      </c>
      <c r="E1133" s="43"/>
      <c r="F1133" s="36">
        <v>4.1599999999999998E-2</v>
      </c>
      <c r="G1133" s="36">
        <v>8.1951999999999997E-3</v>
      </c>
      <c r="H1133" s="36">
        <v>6.7713999999999996E-2</v>
      </c>
      <c r="I1133" s="37">
        <f t="shared" si="282"/>
        <v>1.0157099999999999E-2</v>
      </c>
      <c r="J1133" s="32">
        <f t="shared" si="272"/>
        <v>0.15066365000000001</v>
      </c>
      <c r="K1133" s="33">
        <f t="shared" si="275"/>
        <v>2.2599547500000001E-2</v>
      </c>
      <c r="L1133" s="33"/>
      <c r="O1133" s="2">
        <f t="shared" si="277"/>
        <v>2.8214166666666665E-2</v>
      </c>
      <c r="P1133" s="2">
        <f t="shared" si="278"/>
        <v>20.3142</v>
      </c>
      <c r="Q1133" s="7">
        <f t="shared" si="279"/>
        <v>92.002717391304344</v>
      </c>
      <c r="R1133" s="2">
        <v>1.2</v>
      </c>
      <c r="S1133" s="2">
        <f t="shared" si="273"/>
        <v>4.45</v>
      </c>
      <c r="T1133" s="2"/>
      <c r="U1133" s="2"/>
      <c r="Y1133" s="8">
        <f t="shared" si="274"/>
        <v>3.2752967391304346</v>
      </c>
    </row>
    <row r="1134" spans="1:25" x14ac:dyDescent="0.25">
      <c r="A1134" s="34">
        <f t="shared" si="283"/>
        <v>1126</v>
      </c>
      <c r="B1134" s="35" t="e">
        <f>#REF!+1</f>
        <v>#REF!</v>
      </c>
      <c r="C1134" s="42" t="s">
        <v>322</v>
      </c>
      <c r="D1134" s="43" t="s">
        <v>323</v>
      </c>
      <c r="E1134" s="43"/>
      <c r="F1134" s="36">
        <v>0.1164</v>
      </c>
      <c r="G1134" s="36">
        <v>2.2930800000000001E-2</v>
      </c>
      <c r="H1134" s="36">
        <v>0.12230000000000001</v>
      </c>
      <c r="I1134" s="37">
        <v>1.8345E-2</v>
      </c>
      <c r="J1134" s="32">
        <f t="shared" si="272"/>
        <v>0.22625499999999998</v>
      </c>
      <c r="K1134" s="33">
        <f t="shared" si="275"/>
        <v>3.3938249999999996E-2</v>
      </c>
      <c r="L1134" s="33"/>
      <c r="O1134" s="2">
        <f t="shared" si="277"/>
        <v>5.0958333333333335E-2</v>
      </c>
      <c r="P1134" s="2">
        <f t="shared" si="278"/>
        <v>36.690000000000005</v>
      </c>
      <c r="Q1134" s="7">
        <f t="shared" si="279"/>
        <v>166.16847826086959</v>
      </c>
      <c r="R1134" s="2">
        <v>1.2</v>
      </c>
      <c r="S1134" s="2">
        <f t="shared" si="273"/>
        <v>3.7</v>
      </c>
      <c r="T1134" s="2"/>
      <c r="U1134" s="2"/>
      <c r="Y1134" s="8">
        <f t="shared" si="274"/>
        <v>4.9185869565217386</v>
      </c>
    </row>
    <row r="1135" spans="1:25" x14ac:dyDescent="0.25">
      <c r="A1135" s="34">
        <f t="shared" si="283"/>
        <v>1127</v>
      </c>
      <c r="B1135" s="35" t="e">
        <f t="shared" si="283"/>
        <v>#REF!</v>
      </c>
      <c r="C1135" s="42" t="s">
        <v>322</v>
      </c>
      <c r="D1135" s="43" t="s">
        <v>324</v>
      </c>
      <c r="E1135" s="43"/>
      <c r="F1135" s="36">
        <v>2.6800000000000001E-2</v>
      </c>
      <c r="G1135" s="36">
        <v>5.2795999999999997E-3</v>
      </c>
      <c r="H1135" s="36">
        <v>1.38E-2</v>
      </c>
      <c r="I1135" s="37">
        <v>2.0699999999999998E-3</v>
      </c>
      <c r="J1135" s="32">
        <f t="shared" si="272"/>
        <v>3.0705E-2</v>
      </c>
      <c r="K1135" s="33">
        <f t="shared" si="275"/>
        <v>4.6057499999999996E-3</v>
      </c>
      <c r="L1135" s="33"/>
      <c r="O1135" s="2">
        <f t="shared" si="277"/>
        <v>5.7499999999999999E-3</v>
      </c>
      <c r="P1135" s="2">
        <f t="shared" si="278"/>
        <v>4.1400000000000006</v>
      </c>
      <c r="Q1135" s="7">
        <f t="shared" si="279"/>
        <v>18.750000000000004</v>
      </c>
      <c r="R1135" s="2">
        <v>1.2</v>
      </c>
      <c r="S1135" s="2">
        <f t="shared" si="273"/>
        <v>4.45</v>
      </c>
      <c r="T1135" s="2"/>
      <c r="U1135" s="2"/>
      <c r="Y1135" s="8">
        <f t="shared" si="274"/>
        <v>0.66749999999999998</v>
      </c>
    </row>
    <row r="1136" spans="1:25" x14ac:dyDescent="0.25">
      <c r="A1136" s="34">
        <f t="shared" si="283"/>
        <v>1128</v>
      </c>
      <c r="B1136" s="35" t="e">
        <f t="shared" si="283"/>
        <v>#REF!</v>
      </c>
      <c r="C1136" s="42" t="s">
        <v>322</v>
      </c>
      <c r="D1136" s="43" t="s">
        <v>325</v>
      </c>
      <c r="E1136" s="43"/>
      <c r="F1136" s="36">
        <v>0.1462</v>
      </c>
      <c r="G1136" s="36">
        <v>2.8801400000000001E-2</v>
      </c>
      <c r="H1136" s="36">
        <v>6.4699999999999994E-2</v>
      </c>
      <c r="I1136" s="37">
        <v>9.7050000000000001E-3</v>
      </c>
      <c r="J1136" s="32">
        <f t="shared" si="272"/>
        <v>0.14395749999999999</v>
      </c>
      <c r="K1136" s="33">
        <f t="shared" si="275"/>
        <v>2.1593624999999998E-2</v>
      </c>
      <c r="L1136" s="33"/>
      <c r="O1136" s="2">
        <f t="shared" si="277"/>
        <v>2.6958333333333331E-2</v>
      </c>
      <c r="P1136" s="2">
        <f t="shared" si="278"/>
        <v>19.409999999999997</v>
      </c>
      <c r="Q1136" s="7">
        <f t="shared" si="279"/>
        <v>87.907608695652158</v>
      </c>
      <c r="R1136" s="2">
        <v>1.2</v>
      </c>
      <c r="S1136" s="2">
        <f t="shared" si="273"/>
        <v>4.45</v>
      </c>
      <c r="T1136" s="2"/>
      <c r="U1136" s="2"/>
      <c r="Y1136" s="8">
        <f t="shared" si="274"/>
        <v>3.129510869565217</v>
      </c>
    </row>
    <row r="1137" spans="1:25" x14ac:dyDescent="0.25">
      <c r="A1137" s="34">
        <f t="shared" si="283"/>
        <v>1129</v>
      </c>
      <c r="B1137" s="35" t="e">
        <f t="shared" si="283"/>
        <v>#REF!</v>
      </c>
      <c r="C1137" s="42" t="s">
        <v>322</v>
      </c>
      <c r="D1137" s="43">
        <v>3</v>
      </c>
      <c r="E1137" s="43"/>
      <c r="F1137" s="36">
        <v>0.1671</v>
      </c>
      <c r="G1137" s="36">
        <v>3.2918700000000002E-2</v>
      </c>
      <c r="H1137" s="36">
        <v>8.0199999999999994E-2</v>
      </c>
      <c r="I1137" s="37">
        <v>1.2030000000000001E-2</v>
      </c>
      <c r="J1137" s="32">
        <f t="shared" si="272"/>
        <v>0.17844499999999999</v>
      </c>
      <c r="K1137" s="33">
        <f t="shared" si="275"/>
        <v>2.6766749999999999E-2</v>
      </c>
      <c r="L1137" s="33"/>
      <c r="O1137" s="2">
        <f t="shared" si="277"/>
        <v>3.3416666666666664E-2</v>
      </c>
      <c r="P1137" s="2">
        <f t="shared" si="278"/>
        <v>24.06</v>
      </c>
      <c r="Q1137" s="7">
        <f t="shared" si="279"/>
        <v>108.96739130434783</v>
      </c>
      <c r="R1137" s="2">
        <v>1.2</v>
      </c>
      <c r="S1137" s="2">
        <f t="shared" si="273"/>
        <v>4.45</v>
      </c>
      <c r="T1137" s="2"/>
      <c r="U1137" s="2"/>
      <c r="Y1137" s="8">
        <f t="shared" si="274"/>
        <v>3.8792391304347822</v>
      </c>
    </row>
    <row r="1138" spans="1:25" x14ac:dyDescent="0.25">
      <c r="A1138" s="34">
        <f t="shared" si="283"/>
        <v>1130</v>
      </c>
      <c r="B1138" s="35" t="e">
        <f t="shared" si="283"/>
        <v>#REF!</v>
      </c>
      <c r="C1138" s="42" t="s">
        <v>322</v>
      </c>
      <c r="D1138" s="43" t="s">
        <v>326</v>
      </c>
      <c r="E1138" s="43"/>
      <c r="F1138" s="36">
        <v>0.16700000000000001</v>
      </c>
      <c r="G1138" s="36">
        <v>3.2898999999999998E-2</v>
      </c>
      <c r="H1138" s="36">
        <v>5.8099999999999999E-2</v>
      </c>
      <c r="I1138" s="37">
        <v>8.7150000000000005E-3</v>
      </c>
      <c r="J1138" s="32">
        <f t="shared" si="272"/>
        <v>0.12927250000000001</v>
      </c>
      <c r="K1138" s="33">
        <f t="shared" si="275"/>
        <v>1.9390875000000002E-2</v>
      </c>
      <c r="L1138" s="33"/>
      <c r="O1138" s="2">
        <f t="shared" si="277"/>
        <v>2.4208333333333335E-2</v>
      </c>
      <c r="P1138" s="2">
        <f t="shared" si="278"/>
        <v>17.430000000000003</v>
      </c>
      <c r="Q1138" s="7">
        <f t="shared" si="279"/>
        <v>78.940217391304358</v>
      </c>
      <c r="R1138" s="2">
        <v>1.2</v>
      </c>
      <c r="S1138" s="2">
        <f t="shared" si="273"/>
        <v>4.45</v>
      </c>
      <c r="T1138" s="2"/>
      <c r="U1138" s="2"/>
      <c r="Y1138" s="8">
        <f t="shared" si="274"/>
        <v>2.8102717391304348</v>
      </c>
    </row>
    <row r="1139" spans="1:25" x14ac:dyDescent="0.25">
      <c r="A1139" s="34">
        <f t="shared" si="283"/>
        <v>1131</v>
      </c>
      <c r="B1139" s="35" t="e">
        <f t="shared" si="283"/>
        <v>#REF!</v>
      </c>
      <c r="C1139" s="42" t="s">
        <v>322</v>
      </c>
      <c r="D1139" s="43" t="s">
        <v>327</v>
      </c>
      <c r="E1139" s="43"/>
      <c r="F1139" s="36">
        <v>0.16700000000000001</v>
      </c>
      <c r="G1139" s="36">
        <v>3.2898999999999998E-2</v>
      </c>
      <c r="H1139" s="36">
        <v>6.0999999999999999E-2</v>
      </c>
      <c r="I1139" s="37">
        <v>9.1500000000000001E-3</v>
      </c>
      <c r="J1139" s="32">
        <f t="shared" si="272"/>
        <v>0.13572500000000001</v>
      </c>
      <c r="K1139" s="33">
        <f t="shared" si="275"/>
        <v>2.0358750000000002E-2</v>
      </c>
      <c r="L1139" s="33"/>
      <c r="O1139" s="2">
        <f t="shared" si="277"/>
        <v>2.5416666666666667E-2</v>
      </c>
      <c r="P1139" s="2">
        <f t="shared" si="278"/>
        <v>18.3</v>
      </c>
      <c r="Q1139" s="7">
        <f t="shared" si="279"/>
        <v>82.880434782608702</v>
      </c>
      <c r="R1139" s="2">
        <v>1.2</v>
      </c>
      <c r="S1139" s="2">
        <f t="shared" si="273"/>
        <v>4.45</v>
      </c>
      <c r="T1139" s="2"/>
      <c r="U1139" s="2"/>
      <c r="Y1139" s="8">
        <f t="shared" si="274"/>
        <v>2.9505434782608697</v>
      </c>
    </row>
    <row r="1140" spans="1:25" x14ac:dyDescent="0.25">
      <c r="A1140" s="34">
        <f t="shared" si="283"/>
        <v>1132</v>
      </c>
      <c r="B1140" s="35" t="e">
        <f t="shared" si="283"/>
        <v>#REF!</v>
      </c>
      <c r="C1140" s="42" t="s">
        <v>322</v>
      </c>
      <c r="D1140" s="43">
        <v>7</v>
      </c>
      <c r="E1140" s="43"/>
      <c r="F1140" s="36">
        <v>0.28089999999999998</v>
      </c>
      <c r="G1140" s="36">
        <v>5.5337299999999999E-2</v>
      </c>
      <c r="H1140" s="36">
        <v>0.11550000000000001</v>
      </c>
      <c r="I1140" s="37">
        <v>1.7325E-2</v>
      </c>
      <c r="J1140" s="32">
        <f t="shared" si="272"/>
        <v>0.213675</v>
      </c>
      <c r="K1140" s="33">
        <f t="shared" si="275"/>
        <v>3.2051249999999996E-2</v>
      </c>
      <c r="L1140" s="33"/>
      <c r="O1140" s="2">
        <f t="shared" si="277"/>
        <v>4.8125000000000001E-2</v>
      </c>
      <c r="P1140" s="2">
        <f t="shared" si="278"/>
        <v>34.65</v>
      </c>
      <c r="Q1140" s="7">
        <f t="shared" si="279"/>
        <v>156.92934782608694</v>
      </c>
      <c r="R1140" s="2">
        <v>1.2</v>
      </c>
      <c r="S1140" s="2">
        <f t="shared" si="273"/>
        <v>3.7</v>
      </c>
      <c r="T1140" s="2"/>
      <c r="U1140" s="2"/>
      <c r="Y1140" s="8">
        <f t="shared" si="274"/>
        <v>4.6451086956521745</v>
      </c>
    </row>
    <row r="1141" spans="1:25" x14ac:dyDescent="0.25">
      <c r="A1141" s="34">
        <f t="shared" si="283"/>
        <v>1133</v>
      </c>
      <c r="B1141" s="35" t="e">
        <f t="shared" si="283"/>
        <v>#REF!</v>
      </c>
      <c r="C1141" s="42" t="s">
        <v>322</v>
      </c>
      <c r="D1141" s="43" t="s">
        <v>328</v>
      </c>
      <c r="E1141" s="43"/>
      <c r="F1141" s="36">
        <v>5.4100000000000002E-2</v>
      </c>
      <c r="G1141" s="36">
        <v>1.0657700000000001E-2</v>
      </c>
      <c r="H1141" s="36">
        <v>1.0999999999999999E-2</v>
      </c>
      <c r="I1141" s="37">
        <v>1.65E-3</v>
      </c>
      <c r="J1141" s="32">
        <f t="shared" si="272"/>
        <v>2.4475E-2</v>
      </c>
      <c r="K1141" s="33">
        <f t="shared" si="275"/>
        <v>3.67125E-3</v>
      </c>
      <c r="L1141" s="33"/>
      <c r="O1141" s="2">
        <f t="shared" si="277"/>
        <v>4.5833333333333334E-3</v>
      </c>
      <c r="P1141" s="2">
        <f t="shared" si="278"/>
        <v>3.3</v>
      </c>
      <c r="Q1141" s="7">
        <f t="shared" si="279"/>
        <v>14.945652173913043</v>
      </c>
      <c r="R1141" s="2">
        <v>1.2</v>
      </c>
      <c r="S1141" s="2">
        <f t="shared" si="273"/>
        <v>4.45</v>
      </c>
      <c r="T1141" s="2"/>
      <c r="U1141" s="2"/>
      <c r="Y1141" s="8">
        <f t="shared" si="274"/>
        <v>0.53206521739130441</v>
      </c>
    </row>
    <row r="1142" spans="1:25" x14ac:dyDescent="0.25">
      <c r="A1142" s="34">
        <f t="shared" si="283"/>
        <v>1134</v>
      </c>
      <c r="B1142" s="35" t="e">
        <f t="shared" si="283"/>
        <v>#REF!</v>
      </c>
      <c r="C1142" s="42" t="s">
        <v>322</v>
      </c>
      <c r="D1142" s="43" t="s">
        <v>329</v>
      </c>
      <c r="E1142" s="43"/>
      <c r="F1142" s="36">
        <v>8.5000000000000006E-2</v>
      </c>
      <c r="G1142" s="36">
        <v>1.6744999999999999E-2</v>
      </c>
      <c r="H1142" s="36">
        <v>1.47E-2</v>
      </c>
      <c r="I1142" s="37">
        <v>2.2049999999999999E-3</v>
      </c>
      <c r="J1142" s="32">
        <f t="shared" si="272"/>
        <v>3.27075E-2</v>
      </c>
      <c r="K1142" s="33">
        <f t="shared" si="275"/>
        <v>4.9061249999999999E-3</v>
      </c>
      <c r="L1142" s="33"/>
      <c r="O1142" s="2">
        <f t="shared" si="277"/>
        <v>6.1250000000000002E-3</v>
      </c>
      <c r="P1142" s="2">
        <f t="shared" si="278"/>
        <v>4.41</v>
      </c>
      <c r="Q1142" s="7">
        <f t="shared" si="279"/>
        <v>19.972826086956523</v>
      </c>
      <c r="R1142" s="2">
        <v>1.2</v>
      </c>
      <c r="S1142" s="2">
        <f t="shared" si="273"/>
        <v>4.45</v>
      </c>
      <c r="T1142" s="2"/>
      <c r="U1142" s="2"/>
      <c r="Y1142" s="8">
        <f t="shared" si="274"/>
        <v>0.7110326086956521</v>
      </c>
    </row>
    <row r="1143" spans="1:25" x14ac:dyDescent="0.25">
      <c r="A1143" s="34">
        <f t="shared" si="283"/>
        <v>1135</v>
      </c>
      <c r="B1143" s="35" t="e">
        <f t="shared" si="283"/>
        <v>#REF!</v>
      </c>
      <c r="C1143" s="42" t="s">
        <v>322</v>
      </c>
      <c r="D1143" s="43">
        <v>9</v>
      </c>
      <c r="E1143" s="43"/>
      <c r="F1143" s="36">
        <v>0.1002</v>
      </c>
      <c r="G1143" s="36">
        <v>1.9739400000000001E-2</v>
      </c>
      <c r="H1143" s="36">
        <v>3.9E-2</v>
      </c>
      <c r="I1143" s="37">
        <v>5.8500000000000002E-3</v>
      </c>
      <c r="J1143" s="32">
        <f t="shared" si="272"/>
        <v>8.6775000000000005E-2</v>
      </c>
      <c r="K1143" s="33">
        <f t="shared" si="275"/>
        <v>1.301625E-2</v>
      </c>
      <c r="L1143" s="33"/>
      <c r="O1143" s="2">
        <f t="shared" si="277"/>
        <v>1.6250000000000001E-2</v>
      </c>
      <c r="P1143" s="2">
        <f t="shared" si="278"/>
        <v>11.700000000000001</v>
      </c>
      <c r="Q1143" s="7">
        <f t="shared" si="279"/>
        <v>52.989130434782616</v>
      </c>
      <c r="R1143" s="2">
        <v>1.2</v>
      </c>
      <c r="S1143" s="2">
        <f t="shared" si="273"/>
        <v>4.45</v>
      </c>
      <c r="T1143" s="2"/>
      <c r="U1143" s="2"/>
      <c r="Y1143" s="8">
        <f t="shared" si="274"/>
        <v>1.8864130434782609</v>
      </c>
    </row>
    <row r="1144" spans="1:25" x14ac:dyDescent="0.25">
      <c r="A1144" s="34">
        <f t="shared" si="283"/>
        <v>1136</v>
      </c>
      <c r="B1144" s="35" t="e">
        <f t="shared" si="283"/>
        <v>#REF!</v>
      </c>
      <c r="C1144" s="42" t="s">
        <v>322</v>
      </c>
      <c r="D1144" s="43" t="s">
        <v>149</v>
      </c>
      <c r="E1144" s="43"/>
      <c r="F1144" s="36">
        <v>0.13539999999999999</v>
      </c>
      <c r="G1144" s="36">
        <v>2.6673800000000001E-2</v>
      </c>
      <c r="H1144" s="36">
        <v>5.2299999999999999E-2</v>
      </c>
      <c r="I1144" s="37">
        <v>7.8449999999999995E-3</v>
      </c>
      <c r="J1144" s="32">
        <f t="shared" si="272"/>
        <v>0.1163675</v>
      </c>
      <c r="K1144" s="33">
        <f t="shared" si="275"/>
        <v>1.7455124999999998E-2</v>
      </c>
      <c r="L1144" s="33"/>
      <c r="O1144" s="2">
        <f t="shared" si="277"/>
        <v>2.1791666666666668E-2</v>
      </c>
      <c r="P1144" s="2">
        <f t="shared" si="278"/>
        <v>15.690000000000001</v>
      </c>
      <c r="Q1144" s="7">
        <f t="shared" si="279"/>
        <v>71.059782608695656</v>
      </c>
      <c r="R1144" s="2">
        <v>1.2</v>
      </c>
      <c r="S1144" s="2">
        <f t="shared" si="273"/>
        <v>4.45</v>
      </c>
      <c r="T1144" s="2"/>
      <c r="U1144" s="2"/>
      <c r="Y1144" s="8">
        <f t="shared" si="274"/>
        <v>2.5297282608695655</v>
      </c>
    </row>
    <row r="1145" spans="1:25" x14ac:dyDescent="0.25">
      <c r="A1145" s="34">
        <f t="shared" si="283"/>
        <v>1137</v>
      </c>
      <c r="B1145" s="35" t="e">
        <f t="shared" si="283"/>
        <v>#REF!</v>
      </c>
      <c r="C1145" s="42" t="s">
        <v>330</v>
      </c>
      <c r="D1145" s="43">
        <v>26</v>
      </c>
      <c r="E1145" s="43"/>
      <c r="F1145" s="36">
        <v>0.2964</v>
      </c>
      <c r="G1145" s="36">
        <v>5.83908E-2</v>
      </c>
      <c r="H1145" s="36">
        <v>0.1074</v>
      </c>
      <c r="I1145" s="37">
        <v>1.6109999999999999E-2</v>
      </c>
      <c r="J1145" s="32">
        <f t="shared" si="272"/>
        <v>0.23896500000000001</v>
      </c>
      <c r="K1145" s="33">
        <f t="shared" si="275"/>
        <v>3.5844750000000002E-2</v>
      </c>
      <c r="L1145" s="33"/>
      <c r="O1145" s="2">
        <f t="shared" si="277"/>
        <v>4.4749999999999998E-2</v>
      </c>
      <c r="P1145" s="2">
        <f t="shared" si="278"/>
        <v>32.22</v>
      </c>
      <c r="Q1145" s="7">
        <f t="shared" si="279"/>
        <v>145.92391304347825</v>
      </c>
      <c r="R1145" s="2">
        <v>1.2</v>
      </c>
      <c r="S1145" s="2">
        <f t="shared" si="273"/>
        <v>4.45</v>
      </c>
      <c r="T1145" s="2"/>
      <c r="U1145" s="2"/>
      <c r="Y1145" s="8">
        <f t="shared" si="274"/>
        <v>5.1948913043478262</v>
      </c>
    </row>
    <row r="1146" spans="1:25" x14ac:dyDescent="0.25">
      <c r="A1146" s="34">
        <f t="shared" si="283"/>
        <v>1138</v>
      </c>
      <c r="B1146" s="35" t="e">
        <f t="shared" si="283"/>
        <v>#REF!</v>
      </c>
      <c r="C1146" s="42" t="s">
        <v>330</v>
      </c>
      <c r="D1146" s="43">
        <v>28</v>
      </c>
      <c r="E1146" s="43">
        <v>1</v>
      </c>
      <c r="F1146" s="36">
        <v>0.20449999999999999</v>
      </c>
      <c r="G1146" s="36">
        <v>4.0286500000000003E-2</v>
      </c>
      <c r="H1146" s="36">
        <v>6.3299999999999995E-2</v>
      </c>
      <c r="I1146" s="37">
        <v>9.495E-3</v>
      </c>
      <c r="J1146" s="32">
        <f t="shared" si="272"/>
        <v>0.14084249999999998</v>
      </c>
      <c r="K1146" s="33">
        <f t="shared" si="275"/>
        <v>2.1126374999999996E-2</v>
      </c>
      <c r="L1146" s="33"/>
      <c r="O1146" s="2">
        <f t="shared" si="277"/>
        <v>2.6374999999999999E-2</v>
      </c>
      <c r="P1146" s="2">
        <f t="shared" si="278"/>
        <v>18.990000000000002</v>
      </c>
      <c r="Q1146" s="7">
        <f t="shared" si="279"/>
        <v>86.005434782608702</v>
      </c>
      <c r="R1146" s="2">
        <v>1.2</v>
      </c>
      <c r="S1146" s="2">
        <f t="shared" si="273"/>
        <v>4.45</v>
      </c>
      <c r="T1146" s="2"/>
      <c r="U1146" s="2"/>
      <c r="Y1146" s="8">
        <f t="shared" si="274"/>
        <v>3.0617934782608689</v>
      </c>
    </row>
    <row r="1147" spans="1:25" x14ac:dyDescent="0.25">
      <c r="A1147" s="34">
        <f t="shared" ref="A1147:B1162" si="284">A1146+1</f>
        <v>1139</v>
      </c>
      <c r="B1147" s="35" t="e">
        <f t="shared" si="284"/>
        <v>#REF!</v>
      </c>
      <c r="C1147" s="42" t="s">
        <v>330</v>
      </c>
      <c r="D1147" s="43">
        <v>28</v>
      </c>
      <c r="E1147" s="43">
        <v>2</v>
      </c>
      <c r="F1147" s="36">
        <v>0.20449999999999999</v>
      </c>
      <c r="G1147" s="36">
        <v>4.0286500000000003E-2</v>
      </c>
      <c r="H1147" s="36">
        <v>6.3299999999999995E-2</v>
      </c>
      <c r="I1147" s="37">
        <v>9.495E-3</v>
      </c>
      <c r="J1147" s="32">
        <f t="shared" si="272"/>
        <v>0.14084249999999998</v>
      </c>
      <c r="K1147" s="33">
        <f t="shared" si="275"/>
        <v>2.1126374999999996E-2</v>
      </c>
      <c r="L1147" s="33"/>
      <c r="O1147" s="2">
        <f t="shared" si="277"/>
        <v>2.6374999999999999E-2</v>
      </c>
      <c r="P1147" s="2">
        <f t="shared" si="278"/>
        <v>18.990000000000002</v>
      </c>
      <c r="Q1147" s="7">
        <f t="shared" si="279"/>
        <v>86.005434782608702</v>
      </c>
      <c r="R1147" s="2">
        <v>1.2</v>
      </c>
      <c r="S1147" s="2">
        <f t="shared" si="273"/>
        <v>4.45</v>
      </c>
      <c r="T1147" s="2"/>
      <c r="U1147" s="2"/>
      <c r="Y1147" s="8">
        <f t="shared" si="274"/>
        <v>3.0617934782608689</v>
      </c>
    </row>
    <row r="1148" spans="1:25" x14ac:dyDescent="0.25">
      <c r="A1148" s="34">
        <f t="shared" si="284"/>
        <v>1140</v>
      </c>
      <c r="B1148" s="35" t="e">
        <f t="shared" si="284"/>
        <v>#REF!</v>
      </c>
      <c r="C1148" s="42" t="s">
        <v>330</v>
      </c>
      <c r="D1148" s="43" t="s">
        <v>126</v>
      </c>
      <c r="E1148" s="43"/>
      <c r="F1148" s="36">
        <v>0.35449999999999998</v>
      </c>
      <c r="G1148" s="36">
        <v>6.9836499999999996E-2</v>
      </c>
      <c r="H1148" s="36">
        <v>0.33629999999999999</v>
      </c>
      <c r="I1148" s="37">
        <v>5.0444999999999997E-2</v>
      </c>
      <c r="J1148" s="32">
        <f t="shared" si="272"/>
        <v>0.54648750000000001</v>
      </c>
      <c r="K1148" s="33">
        <f t="shared" si="275"/>
        <v>8.1973124999999994E-2</v>
      </c>
      <c r="L1148" s="33"/>
      <c r="O1148" s="2">
        <f t="shared" si="277"/>
        <v>0.140125</v>
      </c>
      <c r="P1148" s="2">
        <f t="shared" si="278"/>
        <v>100.89</v>
      </c>
      <c r="Q1148" s="7">
        <f t="shared" si="279"/>
        <v>456.92934782608694</v>
      </c>
      <c r="R1148" s="2">
        <v>1.2</v>
      </c>
      <c r="S1148" s="2">
        <f t="shared" si="273"/>
        <v>3.25</v>
      </c>
      <c r="T1148" s="2"/>
      <c r="U1148" s="2"/>
      <c r="Y1148" s="8">
        <f t="shared" si="274"/>
        <v>11.880163043478262</v>
      </c>
    </row>
    <row r="1149" spans="1:25" x14ac:dyDescent="0.25">
      <c r="A1149" s="34">
        <f t="shared" si="284"/>
        <v>1141</v>
      </c>
      <c r="B1149" s="35" t="e">
        <f t="shared" si="284"/>
        <v>#REF!</v>
      </c>
      <c r="C1149" s="42" t="s">
        <v>330</v>
      </c>
      <c r="D1149" s="43">
        <v>30</v>
      </c>
      <c r="E1149" s="43">
        <v>1</v>
      </c>
      <c r="F1149" s="36">
        <v>0.15670000000000001</v>
      </c>
      <c r="G1149" s="36">
        <v>3.0869899999999999E-2</v>
      </c>
      <c r="H1149" s="36">
        <v>4.6300000000000001E-2</v>
      </c>
      <c r="I1149" s="37">
        <v>6.9449999999999998E-3</v>
      </c>
      <c r="J1149" s="32">
        <f t="shared" si="272"/>
        <v>0.10301750000000001</v>
      </c>
      <c r="K1149" s="33">
        <f t="shared" si="275"/>
        <v>1.5452625000000001E-2</v>
      </c>
      <c r="L1149" s="33"/>
      <c r="O1149" s="2">
        <f t="shared" si="277"/>
        <v>1.9291666666666669E-2</v>
      </c>
      <c r="P1149" s="2">
        <f t="shared" si="278"/>
        <v>13.890000000000002</v>
      </c>
      <c r="Q1149" s="7">
        <f t="shared" si="279"/>
        <v>62.907608695652186</v>
      </c>
      <c r="R1149" s="2">
        <v>1.2</v>
      </c>
      <c r="S1149" s="2">
        <f t="shared" si="273"/>
        <v>4.45</v>
      </c>
      <c r="T1149" s="2"/>
      <c r="U1149" s="2"/>
      <c r="Y1149" s="8">
        <f t="shared" si="274"/>
        <v>2.2395108695652177</v>
      </c>
    </row>
    <row r="1150" spans="1:25" x14ac:dyDescent="0.25">
      <c r="A1150" s="34">
        <f t="shared" si="284"/>
        <v>1142</v>
      </c>
      <c r="B1150" s="35" t="e">
        <f t="shared" si="284"/>
        <v>#REF!</v>
      </c>
      <c r="C1150" s="42" t="s">
        <v>330</v>
      </c>
      <c r="D1150" s="43">
        <v>30</v>
      </c>
      <c r="E1150" s="43">
        <v>2</v>
      </c>
      <c r="F1150" s="36">
        <v>0.15670000000000001</v>
      </c>
      <c r="G1150" s="36">
        <v>3.0869899999999999E-2</v>
      </c>
      <c r="H1150" s="36">
        <v>4.6300000000000001E-2</v>
      </c>
      <c r="I1150" s="37">
        <v>6.9449999999999998E-3</v>
      </c>
      <c r="J1150" s="32">
        <f t="shared" si="272"/>
        <v>0.10301750000000001</v>
      </c>
      <c r="K1150" s="33">
        <f t="shared" si="275"/>
        <v>1.5452625000000001E-2</v>
      </c>
      <c r="L1150" s="33"/>
      <c r="O1150" s="2">
        <f t="shared" si="277"/>
        <v>1.9291666666666669E-2</v>
      </c>
      <c r="P1150" s="2">
        <f t="shared" si="278"/>
        <v>13.890000000000002</v>
      </c>
      <c r="Q1150" s="7">
        <f t="shared" si="279"/>
        <v>62.907608695652186</v>
      </c>
      <c r="R1150" s="2">
        <v>1.2</v>
      </c>
      <c r="S1150" s="2">
        <f t="shared" si="273"/>
        <v>4.45</v>
      </c>
      <c r="T1150" s="2"/>
      <c r="U1150" s="2"/>
      <c r="Y1150" s="8">
        <f t="shared" si="274"/>
        <v>2.2395108695652177</v>
      </c>
    </row>
    <row r="1151" spans="1:25" x14ac:dyDescent="0.25">
      <c r="A1151" s="34">
        <f t="shared" si="284"/>
        <v>1143</v>
      </c>
      <c r="B1151" s="35" t="e">
        <f t="shared" si="284"/>
        <v>#REF!</v>
      </c>
      <c r="C1151" s="42" t="s">
        <v>330</v>
      </c>
      <c r="D1151" s="43">
        <v>32</v>
      </c>
      <c r="E1151" s="43"/>
      <c r="F1151" s="36">
        <v>0.21410000000000001</v>
      </c>
      <c r="G1151" s="36">
        <v>4.2177699999999999E-2</v>
      </c>
      <c r="H1151" s="36">
        <v>8.8300000000000003E-2</v>
      </c>
      <c r="I1151" s="37">
        <v>1.3245E-2</v>
      </c>
      <c r="J1151" s="32">
        <f t="shared" si="272"/>
        <v>0.19646750000000002</v>
      </c>
      <c r="K1151" s="33">
        <f t="shared" si="275"/>
        <v>2.9470125E-2</v>
      </c>
      <c r="L1151" s="33"/>
      <c r="O1151" s="2">
        <f t="shared" si="277"/>
        <v>3.6791666666666667E-2</v>
      </c>
      <c r="P1151" s="2">
        <f t="shared" si="278"/>
        <v>26.490000000000002</v>
      </c>
      <c r="Q1151" s="7">
        <f t="shared" si="279"/>
        <v>119.97282608695653</v>
      </c>
      <c r="R1151" s="2">
        <v>1.2</v>
      </c>
      <c r="S1151" s="2">
        <f t="shared" si="273"/>
        <v>4.45</v>
      </c>
      <c r="T1151" s="2"/>
      <c r="U1151" s="2"/>
      <c r="Y1151" s="8">
        <f t="shared" si="274"/>
        <v>4.271032608695652</v>
      </c>
    </row>
    <row r="1152" spans="1:25" x14ac:dyDescent="0.25">
      <c r="A1152" s="34">
        <f t="shared" si="284"/>
        <v>1144</v>
      </c>
      <c r="B1152" s="35" t="e">
        <f t="shared" si="284"/>
        <v>#REF!</v>
      </c>
      <c r="C1152" s="42" t="s">
        <v>330</v>
      </c>
      <c r="D1152" s="43">
        <v>33</v>
      </c>
      <c r="E1152" s="43">
        <v>1</v>
      </c>
      <c r="F1152" s="36">
        <v>0.2014</v>
      </c>
      <c r="G1152" s="36">
        <v>3.9675799999999997E-2</v>
      </c>
      <c r="H1152" s="36">
        <v>8.2400000000000001E-2</v>
      </c>
      <c r="I1152" s="37">
        <v>1.2359999999999999E-2</v>
      </c>
      <c r="J1152" s="32">
        <f t="shared" si="272"/>
        <v>0.18334</v>
      </c>
      <c r="K1152" s="33">
        <f t="shared" si="275"/>
        <v>2.7501000000000001E-2</v>
      </c>
      <c r="L1152" s="33"/>
      <c r="O1152" s="2">
        <f t="shared" si="277"/>
        <v>3.4333333333333334E-2</v>
      </c>
      <c r="P1152" s="2">
        <f t="shared" si="278"/>
        <v>24.720000000000002</v>
      </c>
      <c r="Q1152" s="7">
        <f t="shared" si="279"/>
        <v>111.95652173913045</v>
      </c>
      <c r="R1152" s="2">
        <v>1.2</v>
      </c>
      <c r="S1152" s="2">
        <f t="shared" si="273"/>
        <v>4.45</v>
      </c>
      <c r="T1152" s="2"/>
      <c r="U1152" s="2"/>
      <c r="Y1152" s="8">
        <f t="shared" si="274"/>
        <v>3.9856521739130439</v>
      </c>
    </row>
    <row r="1153" spans="1:25" x14ac:dyDescent="0.25">
      <c r="A1153" s="34">
        <f t="shared" si="284"/>
        <v>1145</v>
      </c>
      <c r="B1153" s="35" t="e">
        <f t="shared" si="284"/>
        <v>#REF!</v>
      </c>
      <c r="C1153" s="42" t="s">
        <v>330</v>
      </c>
      <c r="D1153" s="43">
        <v>33</v>
      </c>
      <c r="E1153" s="43">
        <v>2</v>
      </c>
      <c r="F1153" s="36">
        <v>0.2014</v>
      </c>
      <c r="G1153" s="36">
        <v>3.9675799999999997E-2</v>
      </c>
      <c r="H1153" s="36">
        <v>8.2400000000000001E-2</v>
      </c>
      <c r="I1153" s="37">
        <v>1.2359999999999999E-2</v>
      </c>
      <c r="J1153" s="32">
        <f t="shared" si="272"/>
        <v>0.18334</v>
      </c>
      <c r="K1153" s="33">
        <f t="shared" si="275"/>
        <v>2.7501000000000001E-2</v>
      </c>
      <c r="L1153" s="33"/>
      <c r="O1153" s="2">
        <f t="shared" si="277"/>
        <v>3.4333333333333334E-2</v>
      </c>
      <c r="P1153" s="2">
        <f t="shared" si="278"/>
        <v>24.720000000000002</v>
      </c>
      <c r="Q1153" s="7">
        <f t="shared" si="279"/>
        <v>111.95652173913045</v>
      </c>
      <c r="R1153" s="2">
        <v>1.2</v>
      </c>
      <c r="S1153" s="2">
        <f t="shared" si="273"/>
        <v>4.45</v>
      </c>
      <c r="T1153" s="2"/>
      <c r="U1153" s="2"/>
      <c r="Y1153" s="8">
        <f t="shared" si="274"/>
        <v>3.9856521739130439</v>
      </c>
    </row>
    <row r="1154" spans="1:25" x14ac:dyDescent="0.25">
      <c r="A1154" s="34">
        <f t="shared" si="284"/>
        <v>1146</v>
      </c>
      <c r="B1154" s="35" t="e">
        <f t="shared" si="284"/>
        <v>#REF!</v>
      </c>
      <c r="C1154" s="42" t="s">
        <v>330</v>
      </c>
      <c r="D1154" s="43">
        <v>34</v>
      </c>
      <c r="E1154" s="43"/>
      <c r="F1154" s="36">
        <v>0.21329999999999999</v>
      </c>
      <c r="G1154" s="36">
        <v>4.2020099999999998E-2</v>
      </c>
      <c r="H1154" s="36">
        <v>7.7280000000000001E-2</v>
      </c>
      <c r="I1154" s="37">
        <v>1.1592E-2</v>
      </c>
      <c r="J1154" s="32">
        <f t="shared" si="272"/>
        <v>0.17194800000000002</v>
      </c>
      <c r="K1154" s="33">
        <f t="shared" si="275"/>
        <v>2.5792200000000001E-2</v>
      </c>
      <c r="L1154" s="33"/>
      <c r="O1154" s="2">
        <f t="shared" si="277"/>
        <v>3.2199999999999999E-2</v>
      </c>
      <c r="P1154" s="2">
        <f t="shared" si="278"/>
        <v>23.183999999999997</v>
      </c>
      <c r="Q1154" s="7">
        <f t="shared" si="279"/>
        <v>104.99999999999999</v>
      </c>
      <c r="R1154" s="2">
        <v>1.2</v>
      </c>
      <c r="S1154" s="2">
        <f t="shared" si="273"/>
        <v>4.45</v>
      </c>
      <c r="T1154" s="2"/>
      <c r="U1154" s="2"/>
      <c r="Y1154" s="8">
        <f t="shared" si="274"/>
        <v>3.7380000000000004</v>
      </c>
    </row>
    <row r="1155" spans="1:25" x14ac:dyDescent="0.25">
      <c r="A1155" s="34">
        <f t="shared" si="284"/>
        <v>1147</v>
      </c>
      <c r="B1155" s="35" t="e">
        <f t="shared" si="284"/>
        <v>#REF!</v>
      </c>
      <c r="C1155" s="42" t="s">
        <v>330</v>
      </c>
      <c r="D1155" s="43">
        <v>35</v>
      </c>
      <c r="E1155" s="43"/>
      <c r="F1155" s="36">
        <v>0.30830000000000002</v>
      </c>
      <c r="G1155" s="36">
        <v>6.07351E-2</v>
      </c>
      <c r="H1155" s="36">
        <v>9.9400000000000002E-2</v>
      </c>
      <c r="I1155" s="37">
        <v>1.491E-2</v>
      </c>
      <c r="J1155" s="32">
        <f t="shared" si="272"/>
        <v>0.221165</v>
      </c>
      <c r="K1155" s="33">
        <f t="shared" si="275"/>
        <v>3.3174749999999996E-2</v>
      </c>
      <c r="L1155" s="33"/>
      <c r="O1155" s="2">
        <f t="shared" si="277"/>
        <v>4.1416666666666671E-2</v>
      </c>
      <c r="P1155" s="2">
        <f t="shared" si="278"/>
        <v>29.820000000000004</v>
      </c>
      <c r="Q1155" s="7">
        <f t="shared" si="279"/>
        <v>135.05434782608697</v>
      </c>
      <c r="R1155" s="2">
        <v>1.2</v>
      </c>
      <c r="S1155" s="2">
        <f t="shared" si="273"/>
        <v>4.45</v>
      </c>
      <c r="T1155" s="2"/>
      <c r="U1155" s="2"/>
      <c r="Y1155" s="8">
        <f t="shared" si="274"/>
        <v>4.8079347826086956</v>
      </c>
    </row>
    <row r="1156" spans="1:25" x14ac:dyDescent="0.25">
      <c r="A1156" s="34">
        <f t="shared" si="284"/>
        <v>1148</v>
      </c>
      <c r="B1156" s="35" t="e">
        <f t="shared" si="284"/>
        <v>#REF!</v>
      </c>
      <c r="C1156" s="42" t="s">
        <v>330</v>
      </c>
      <c r="D1156" s="43">
        <v>37</v>
      </c>
      <c r="E1156" s="43"/>
      <c r="F1156" s="36">
        <v>0.2112</v>
      </c>
      <c r="G1156" s="36">
        <v>4.1606400000000002E-2</v>
      </c>
      <c r="H1156" s="36">
        <v>6.9400000000000003E-2</v>
      </c>
      <c r="I1156" s="37">
        <v>1.0410000000000001E-2</v>
      </c>
      <c r="J1156" s="32">
        <f t="shared" si="272"/>
        <v>0.15441500000000002</v>
      </c>
      <c r="K1156" s="33">
        <f t="shared" si="275"/>
        <v>2.3162250000000002E-2</v>
      </c>
      <c r="L1156" s="33"/>
      <c r="O1156" s="2">
        <f t="shared" si="277"/>
        <v>2.891666666666667E-2</v>
      </c>
      <c r="P1156" s="2">
        <f t="shared" si="278"/>
        <v>20.82</v>
      </c>
      <c r="Q1156" s="7">
        <f t="shared" si="279"/>
        <v>94.293478260869563</v>
      </c>
      <c r="R1156" s="2">
        <v>1.2</v>
      </c>
      <c r="S1156" s="2">
        <f t="shared" si="273"/>
        <v>4.45</v>
      </c>
      <c r="T1156" s="2"/>
      <c r="U1156" s="2"/>
      <c r="Y1156" s="8">
        <f t="shared" si="274"/>
        <v>3.3568478260869572</v>
      </c>
    </row>
    <row r="1157" spans="1:25" x14ac:dyDescent="0.25">
      <c r="A1157" s="34">
        <f t="shared" si="284"/>
        <v>1149</v>
      </c>
      <c r="B1157" s="35" t="e">
        <f t="shared" si="284"/>
        <v>#REF!</v>
      </c>
      <c r="C1157" s="42" t="s">
        <v>330</v>
      </c>
      <c r="D1157" s="43">
        <v>40</v>
      </c>
      <c r="E1157" s="43">
        <v>1</v>
      </c>
      <c r="F1157" s="36">
        <v>0.20069999999999999</v>
      </c>
      <c r="G1157" s="36">
        <v>3.9537900000000001E-2</v>
      </c>
      <c r="H1157" s="36">
        <v>9.35E-2</v>
      </c>
      <c r="I1157" s="37">
        <v>1.2975E-2</v>
      </c>
      <c r="J1157" s="32">
        <f t="shared" si="272"/>
        <v>0.20803750000000004</v>
      </c>
      <c r="K1157" s="33">
        <f t="shared" si="275"/>
        <v>3.1205625000000004E-2</v>
      </c>
      <c r="L1157" s="33"/>
      <c r="O1157" s="2">
        <f t="shared" si="277"/>
        <v>3.8958333333333338E-2</v>
      </c>
      <c r="P1157" s="2">
        <f t="shared" si="278"/>
        <v>28.05</v>
      </c>
      <c r="Q1157" s="7">
        <f t="shared" si="279"/>
        <v>127.03804347826087</v>
      </c>
      <c r="R1157" s="2">
        <v>1.2</v>
      </c>
      <c r="S1157" s="2">
        <f t="shared" si="273"/>
        <v>4.45</v>
      </c>
      <c r="T1157" s="2"/>
      <c r="U1157" s="2"/>
      <c r="Y1157" s="8">
        <f t="shared" si="274"/>
        <v>4.5225543478260883</v>
      </c>
    </row>
    <row r="1158" spans="1:25" x14ac:dyDescent="0.25">
      <c r="A1158" s="34">
        <f t="shared" si="284"/>
        <v>1150</v>
      </c>
      <c r="B1158" s="35" t="e">
        <f t="shared" si="284"/>
        <v>#REF!</v>
      </c>
      <c r="C1158" s="42" t="s">
        <v>330</v>
      </c>
      <c r="D1158" s="43">
        <v>40</v>
      </c>
      <c r="E1158" s="43">
        <v>2</v>
      </c>
      <c r="F1158" s="36">
        <v>0.20069999999999999</v>
      </c>
      <c r="G1158" s="36">
        <v>3.9537900000000001E-2</v>
      </c>
      <c r="H1158" s="36">
        <v>9.35E-2</v>
      </c>
      <c r="I1158" s="37">
        <v>1.2975E-2</v>
      </c>
      <c r="J1158" s="32">
        <f t="shared" si="272"/>
        <v>0.20803750000000004</v>
      </c>
      <c r="K1158" s="33">
        <f t="shared" si="275"/>
        <v>3.1205625000000004E-2</v>
      </c>
      <c r="L1158" s="33"/>
      <c r="O1158" s="2">
        <f t="shared" si="277"/>
        <v>3.8958333333333338E-2</v>
      </c>
      <c r="P1158" s="2">
        <f t="shared" si="278"/>
        <v>28.05</v>
      </c>
      <c r="Q1158" s="7">
        <f t="shared" si="279"/>
        <v>127.03804347826087</v>
      </c>
      <c r="R1158" s="2">
        <v>1.2</v>
      </c>
      <c r="S1158" s="2">
        <f t="shared" si="273"/>
        <v>4.45</v>
      </c>
      <c r="T1158" s="2"/>
      <c r="U1158" s="2"/>
      <c r="Y1158" s="8">
        <f t="shared" si="274"/>
        <v>4.5225543478260883</v>
      </c>
    </row>
    <row r="1159" spans="1:25" x14ac:dyDescent="0.25">
      <c r="A1159" s="34">
        <f t="shared" si="284"/>
        <v>1151</v>
      </c>
      <c r="B1159" s="35" t="e">
        <f t="shared" si="284"/>
        <v>#REF!</v>
      </c>
      <c r="C1159" s="42" t="s">
        <v>330</v>
      </c>
      <c r="D1159" s="43">
        <v>42</v>
      </c>
      <c r="E1159" s="43"/>
      <c r="F1159" s="36">
        <v>0.3422</v>
      </c>
      <c r="G1159" s="36">
        <v>6.7413399999999998E-2</v>
      </c>
      <c r="H1159" s="36">
        <v>0.1236</v>
      </c>
      <c r="I1159" s="37">
        <v>1.8540000000000001E-2</v>
      </c>
      <c r="J1159" s="32">
        <f t="shared" si="272"/>
        <v>0.22866</v>
      </c>
      <c r="K1159" s="33">
        <f t="shared" si="275"/>
        <v>3.4298999999999996E-2</v>
      </c>
      <c r="L1159" s="33"/>
      <c r="O1159" s="2">
        <f t="shared" si="277"/>
        <v>5.1500000000000004E-2</v>
      </c>
      <c r="P1159" s="2">
        <f t="shared" si="278"/>
        <v>37.080000000000005</v>
      </c>
      <c r="Q1159" s="7">
        <f t="shared" si="279"/>
        <v>167.93478260869568</v>
      </c>
      <c r="R1159" s="2">
        <v>1.2</v>
      </c>
      <c r="S1159" s="2">
        <f t="shared" si="273"/>
        <v>3.7</v>
      </c>
      <c r="T1159" s="2"/>
      <c r="U1159" s="2"/>
      <c r="Y1159" s="8">
        <f t="shared" si="274"/>
        <v>4.9708695652173915</v>
      </c>
    </row>
    <row r="1160" spans="1:25" x14ac:dyDescent="0.25">
      <c r="A1160" s="34">
        <f t="shared" si="284"/>
        <v>1152</v>
      </c>
      <c r="B1160" s="35" t="e">
        <f t="shared" si="284"/>
        <v>#REF!</v>
      </c>
      <c r="C1160" s="42" t="s">
        <v>330</v>
      </c>
      <c r="D1160" s="43">
        <v>57</v>
      </c>
      <c r="E1160" s="43"/>
      <c r="F1160" s="36">
        <v>0.18440000000000001</v>
      </c>
      <c r="G1160" s="36">
        <v>3.6326799999999999E-2</v>
      </c>
      <c r="H1160" s="36">
        <v>0.1101</v>
      </c>
      <c r="I1160" s="37">
        <v>1.6514999999999998E-2</v>
      </c>
      <c r="J1160" s="32">
        <f t="shared" si="272"/>
        <v>0.24497250000000004</v>
      </c>
      <c r="K1160" s="33">
        <f t="shared" si="275"/>
        <v>3.6745875000000004E-2</v>
      </c>
      <c r="L1160" s="33"/>
      <c r="O1160" s="2">
        <f t="shared" si="277"/>
        <v>4.5875000000000006E-2</v>
      </c>
      <c r="P1160" s="2">
        <f t="shared" si="278"/>
        <v>33.030000000000008</v>
      </c>
      <c r="Q1160" s="7">
        <f t="shared" si="279"/>
        <v>149.59239130434787</v>
      </c>
      <c r="R1160" s="2">
        <v>1.2</v>
      </c>
      <c r="S1160" s="2">
        <f t="shared" si="273"/>
        <v>4.45</v>
      </c>
      <c r="T1160" s="2"/>
      <c r="U1160" s="2"/>
      <c r="Y1160" s="8">
        <f t="shared" si="274"/>
        <v>5.325489130434784</v>
      </c>
    </row>
    <row r="1161" spans="1:25" x14ac:dyDescent="0.25">
      <c r="A1161" s="34">
        <f t="shared" si="284"/>
        <v>1153</v>
      </c>
      <c r="B1161" s="35" t="e">
        <f t="shared" si="284"/>
        <v>#REF!</v>
      </c>
      <c r="C1161" s="42" t="s">
        <v>330</v>
      </c>
      <c r="D1161" s="43">
        <v>61</v>
      </c>
      <c r="E1161" s="43">
        <v>1</v>
      </c>
      <c r="F1161" s="36">
        <v>0.3629</v>
      </c>
      <c r="G1161" s="36">
        <v>7.1491299999999994E-2</v>
      </c>
      <c r="H1161" s="36">
        <v>0.23100000000000001</v>
      </c>
      <c r="I1161" s="37">
        <f>H1161*0.15</f>
        <v>3.465E-2</v>
      </c>
      <c r="J1161" s="32">
        <f t="shared" ref="J1161:J1224" si="285">O1161*R1161*S1161</f>
        <v>0.41002499999999997</v>
      </c>
      <c r="K1161" s="33">
        <f t="shared" si="275"/>
        <v>6.1503749999999996E-2</v>
      </c>
      <c r="L1161" s="33"/>
      <c r="O1161" s="2">
        <f t="shared" si="277"/>
        <v>9.6250000000000002E-2</v>
      </c>
      <c r="P1161" s="2">
        <f t="shared" si="278"/>
        <v>69.3</v>
      </c>
      <c r="Q1161" s="7">
        <f t="shared" si="279"/>
        <v>313.85869565217388</v>
      </c>
      <c r="R1161" s="2">
        <v>1.2</v>
      </c>
      <c r="S1161" s="2">
        <f t="shared" ref="S1161:S1224" si="286">IF(Q1161&lt;=$AE$6,$AF$6,IF(Q1161&lt;=$AE$7,$AF$7,IF(Q1161&lt;=$AE$8,$AF$8,IF(Q1161&lt;=$AE$9,$AF$9,IF(Q1161&lt;=$AE$10,$AF$10,0)))))</f>
        <v>3.55</v>
      </c>
      <c r="T1161" s="2"/>
      <c r="U1161" s="2"/>
      <c r="Y1161" s="8">
        <f t="shared" ref="Y1161:Y1224" si="287">J1161/46*1000</f>
        <v>8.9135869565217387</v>
      </c>
    </row>
    <row r="1162" spans="1:25" x14ac:dyDescent="0.25">
      <c r="A1162" s="34">
        <f t="shared" si="284"/>
        <v>1154</v>
      </c>
      <c r="B1162" s="35" t="e">
        <f t="shared" si="284"/>
        <v>#REF!</v>
      </c>
      <c r="C1162" s="42" t="s">
        <v>330</v>
      </c>
      <c r="D1162" s="43">
        <v>61</v>
      </c>
      <c r="E1162" s="43">
        <v>2</v>
      </c>
      <c r="F1162" s="36">
        <v>0.36680000000000001</v>
      </c>
      <c r="G1162" s="36">
        <v>7.2259599999999993E-2</v>
      </c>
      <c r="H1162" s="36">
        <v>0</v>
      </c>
      <c r="I1162" s="37">
        <v>0</v>
      </c>
      <c r="J1162" s="32">
        <f t="shared" si="285"/>
        <v>0</v>
      </c>
      <c r="K1162" s="33">
        <f t="shared" ref="K1162:K1225" si="288">J1162*0.15</f>
        <v>0</v>
      </c>
      <c r="L1162" s="33"/>
      <c r="O1162" s="2">
        <f t="shared" si="277"/>
        <v>0</v>
      </c>
      <c r="P1162" s="2">
        <f t="shared" si="278"/>
        <v>0</v>
      </c>
      <c r="Q1162" s="7">
        <f t="shared" si="279"/>
        <v>0</v>
      </c>
      <c r="R1162" s="2">
        <v>1.2</v>
      </c>
      <c r="S1162" s="2">
        <f t="shared" si="286"/>
        <v>4.45</v>
      </c>
      <c r="T1162" s="2"/>
      <c r="U1162" s="2"/>
      <c r="Y1162" s="8">
        <f t="shared" si="287"/>
        <v>0</v>
      </c>
    </row>
    <row r="1163" spans="1:25" x14ac:dyDescent="0.25">
      <c r="A1163" s="34">
        <f t="shared" ref="A1163:B1178" si="289">A1162+1</f>
        <v>1155</v>
      </c>
      <c r="B1163" s="35" t="e">
        <f t="shared" si="289"/>
        <v>#REF!</v>
      </c>
      <c r="C1163" s="42" t="s">
        <v>330</v>
      </c>
      <c r="D1163" s="43">
        <v>63</v>
      </c>
      <c r="E1163" s="43"/>
      <c r="F1163" s="36">
        <v>0.2268</v>
      </c>
      <c r="G1163" s="36">
        <v>4.46796E-2</v>
      </c>
      <c r="H1163" s="36">
        <v>0.1038</v>
      </c>
      <c r="I1163" s="37">
        <v>1.5570000000000001E-2</v>
      </c>
      <c r="J1163" s="32">
        <f t="shared" si="285"/>
        <v>0.23095500000000002</v>
      </c>
      <c r="K1163" s="33">
        <f t="shared" si="288"/>
        <v>3.464325E-2</v>
      </c>
      <c r="L1163" s="33"/>
      <c r="O1163" s="2">
        <f t="shared" ref="O1163:O1226" si="290">H1163/2.4</f>
        <v>4.3250000000000004E-2</v>
      </c>
      <c r="P1163" s="2">
        <f t="shared" ref="P1163:P1226" si="291">O1163*24*30</f>
        <v>31.14</v>
      </c>
      <c r="Q1163" s="7">
        <f t="shared" ref="Q1163:Q1226" si="292">P1163/0.2208</f>
        <v>141.03260869565219</v>
      </c>
      <c r="R1163" s="2">
        <v>1.2</v>
      </c>
      <c r="S1163" s="2">
        <f t="shared" si="286"/>
        <v>4.45</v>
      </c>
      <c r="T1163" s="2"/>
      <c r="U1163" s="2"/>
      <c r="Y1163" s="8">
        <f t="shared" si="287"/>
        <v>5.0207608695652173</v>
      </c>
    </row>
    <row r="1164" spans="1:25" x14ac:dyDescent="0.25">
      <c r="A1164" s="34">
        <f t="shared" si="289"/>
        <v>1156</v>
      </c>
      <c r="B1164" s="35" t="e">
        <f t="shared" si="289"/>
        <v>#REF!</v>
      </c>
      <c r="C1164" s="42" t="s">
        <v>330</v>
      </c>
      <c r="D1164" s="43">
        <v>68</v>
      </c>
      <c r="E1164" s="43">
        <v>1</v>
      </c>
      <c r="F1164" s="36">
        <v>0.20619999999999999</v>
      </c>
      <c r="G1164" s="36">
        <v>4.0621400000000002E-2</v>
      </c>
      <c r="H1164" s="36">
        <v>0.13400000000000001</v>
      </c>
      <c r="I1164" s="37">
        <f>H1164*0.15</f>
        <v>2.01E-2</v>
      </c>
      <c r="J1164" s="32">
        <f t="shared" si="285"/>
        <v>0.24790000000000004</v>
      </c>
      <c r="K1164" s="33">
        <f t="shared" si="288"/>
        <v>3.7185000000000003E-2</v>
      </c>
      <c r="L1164" s="33"/>
      <c r="O1164" s="2">
        <f t="shared" si="290"/>
        <v>5.5833333333333339E-2</v>
      </c>
      <c r="P1164" s="2">
        <f t="shared" si="291"/>
        <v>40.200000000000003</v>
      </c>
      <c r="Q1164" s="7">
        <f t="shared" si="292"/>
        <v>182.06521739130437</v>
      </c>
      <c r="R1164" s="2">
        <v>1.2</v>
      </c>
      <c r="S1164" s="2">
        <f t="shared" si="286"/>
        <v>3.7</v>
      </c>
      <c r="T1164" s="2"/>
      <c r="U1164" s="2"/>
      <c r="Y1164" s="8">
        <f t="shared" si="287"/>
        <v>5.3891304347826097</v>
      </c>
    </row>
    <row r="1165" spans="1:25" x14ac:dyDescent="0.25">
      <c r="A1165" s="34">
        <f t="shared" si="289"/>
        <v>1157</v>
      </c>
      <c r="B1165" s="35" t="e">
        <f t="shared" si="289"/>
        <v>#REF!</v>
      </c>
      <c r="C1165" s="42" t="s">
        <v>330</v>
      </c>
      <c r="D1165" s="43">
        <v>68</v>
      </c>
      <c r="E1165" s="43">
        <v>2</v>
      </c>
      <c r="F1165" s="36">
        <v>0.20619999999999999</v>
      </c>
      <c r="G1165" s="36">
        <v>4.0621400000000002E-2</v>
      </c>
      <c r="H1165" s="36">
        <v>0</v>
      </c>
      <c r="I1165" s="37">
        <v>0</v>
      </c>
      <c r="J1165" s="32">
        <f t="shared" si="285"/>
        <v>0</v>
      </c>
      <c r="K1165" s="33">
        <f t="shared" si="288"/>
        <v>0</v>
      </c>
      <c r="L1165" s="33"/>
      <c r="O1165" s="2">
        <f t="shared" si="290"/>
        <v>0</v>
      </c>
      <c r="P1165" s="2">
        <f t="shared" si="291"/>
        <v>0</v>
      </c>
      <c r="Q1165" s="7">
        <f t="shared" si="292"/>
        <v>0</v>
      </c>
      <c r="R1165" s="2">
        <v>1.2</v>
      </c>
      <c r="S1165" s="2">
        <f t="shared" si="286"/>
        <v>4.45</v>
      </c>
      <c r="T1165" s="2"/>
      <c r="U1165" s="2"/>
      <c r="Y1165" s="8">
        <f t="shared" si="287"/>
        <v>0</v>
      </c>
    </row>
    <row r="1166" spans="1:25" x14ac:dyDescent="0.25">
      <c r="A1166" s="34">
        <f t="shared" si="289"/>
        <v>1158</v>
      </c>
      <c r="B1166" s="35" t="e">
        <f t="shared" si="289"/>
        <v>#REF!</v>
      </c>
      <c r="C1166" s="42" t="s">
        <v>330</v>
      </c>
      <c r="D1166" s="43">
        <v>88</v>
      </c>
      <c r="E1166" s="43"/>
      <c r="F1166" s="36">
        <v>0.1051</v>
      </c>
      <c r="G1166" s="36">
        <v>2.0704699999999999E-2</v>
      </c>
      <c r="H1166" s="36">
        <v>3.2199999999999999E-2</v>
      </c>
      <c r="I1166" s="37">
        <v>4.8300000000000001E-3</v>
      </c>
      <c r="J1166" s="32">
        <f t="shared" si="285"/>
        <v>7.1645E-2</v>
      </c>
      <c r="K1166" s="33">
        <f t="shared" si="288"/>
        <v>1.0746749999999999E-2</v>
      </c>
      <c r="L1166" s="33"/>
      <c r="O1166" s="2">
        <f t="shared" si="290"/>
        <v>1.3416666666666667E-2</v>
      </c>
      <c r="P1166" s="2">
        <f t="shared" si="291"/>
        <v>9.66</v>
      </c>
      <c r="Q1166" s="7">
        <f t="shared" si="292"/>
        <v>43.75</v>
      </c>
      <c r="R1166" s="2">
        <v>1.2</v>
      </c>
      <c r="S1166" s="2">
        <f t="shared" si="286"/>
        <v>4.45</v>
      </c>
      <c r="T1166" s="2"/>
      <c r="U1166" s="2"/>
      <c r="Y1166" s="8">
        <f t="shared" si="287"/>
        <v>1.5575000000000001</v>
      </c>
    </row>
    <row r="1167" spans="1:25" x14ac:dyDescent="0.25">
      <c r="A1167" s="34">
        <f t="shared" si="289"/>
        <v>1159</v>
      </c>
      <c r="B1167" s="35" t="e">
        <f t="shared" si="289"/>
        <v>#REF!</v>
      </c>
      <c r="C1167" s="42" t="s">
        <v>330</v>
      </c>
      <c r="D1167" s="43" t="s">
        <v>202</v>
      </c>
      <c r="E1167" s="43"/>
      <c r="F1167" s="36">
        <v>0.1575</v>
      </c>
      <c r="G1167" s="36">
        <v>3.10275E-2</v>
      </c>
      <c r="H1167" s="36">
        <v>0.10299999999999999</v>
      </c>
      <c r="I1167" s="37">
        <v>1.545E-2</v>
      </c>
      <c r="J1167" s="32">
        <f t="shared" si="285"/>
        <v>0.22917499999999999</v>
      </c>
      <c r="K1167" s="33">
        <f t="shared" si="288"/>
        <v>3.4376249999999997E-2</v>
      </c>
      <c r="L1167" s="33"/>
      <c r="O1167" s="2">
        <f t="shared" si="290"/>
        <v>4.2916666666666665E-2</v>
      </c>
      <c r="P1167" s="2">
        <f t="shared" si="291"/>
        <v>30.900000000000002</v>
      </c>
      <c r="Q1167" s="7">
        <f t="shared" si="292"/>
        <v>139.94565217391306</v>
      </c>
      <c r="R1167" s="2">
        <v>1.2</v>
      </c>
      <c r="S1167" s="2">
        <f t="shared" si="286"/>
        <v>4.45</v>
      </c>
      <c r="T1167" s="2"/>
      <c r="U1167" s="2"/>
      <c r="Y1167" s="8">
        <f t="shared" si="287"/>
        <v>4.9820652173913045</v>
      </c>
    </row>
    <row r="1168" spans="1:25" x14ac:dyDescent="0.25">
      <c r="A1168" s="34">
        <f t="shared" si="289"/>
        <v>1160</v>
      </c>
      <c r="B1168" s="35" t="e">
        <f t="shared" si="289"/>
        <v>#REF!</v>
      </c>
      <c r="C1168" s="42" t="s">
        <v>330</v>
      </c>
      <c r="D1168" s="43" t="s">
        <v>331</v>
      </c>
      <c r="E1168" s="43"/>
      <c r="F1168" s="36">
        <v>0.17879999999999999</v>
      </c>
      <c r="G1168" s="36">
        <v>3.5223600000000001E-2</v>
      </c>
      <c r="H1168" s="36">
        <v>0.104</v>
      </c>
      <c r="I1168" s="37">
        <v>1.5599999999999999E-2</v>
      </c>
      <c r="J1168" s="32">
        <f t="shared" si="285"/>
        <v>0.23139999999999999</v>
      </c>
      <c r="K1168" s="33">
        <f t="shared" si="288"/>
        <v>3.4709999999999998E-2</v>
      </c>
      <c r="L1168" s="33"/>
      <c r="O1168" s="2">
        <f t="shared" si="290"/>
        <v>4.3333333333333335E-2</v>
      </c>
      <c r="P1168" s="2">
        <f t="shared" si="291"/>
        <v>31.200000000000003</v>
      </c>
      <c r="Q1168" s="7">
        <f t="shared" si="292"/>
        <v>141.30434782608697</v>
      </c>
      <c r="R1168" s="2">
        <v>1.2</v>
      </c>
      <c r="S1168" s="2">
        <f t="shared" si="286"/>
        <v>4.45</v>
      </c>
      <c r="T1168" s="2"/>
      <c r="U1168" s="2"/>
      <c r="Y1168" s="8">
        <f t="shared" si="287"/>
        <v>5.0304347826086948</v>
      </c>
    </row>
    <row r="1169" spans="1:25" x14ac:dyDescent="0.25">
      <c r="A1169" s="34">
        <f t="shared" si="289"/>
        <v>1161</v>
      </c>
      <c r="B1169" s="35" t="e">
        <f t="shared" si="289"/>
        <v>#REF!</v>
      </c>
      <c r="C1169" s="42" t="s">
        <v>330</v>
      </c>
      <c r="D1169" s="43">
        <v>146</v>
      </c>
      <c r="E1169" s="43"/>
      <c r="F1169" s="36">
        <v>3.95E-2</v>
      </c>
      <c r="G1169" s="36">
        <v>7.7815000000000002E-3</v>
      </c>
      <c r="H1169" s="36">
        <v>2.3E-2</v>
      </c>
      <c r="I1169" s="37">
        <v>3.4499999999999999E-3</v>
      </c>
      <c r="J1169" s="32">
        <f t="shared" si="285"/>
        <v>5.1175000000000012E-2</v>
      </c>
      <c r="K1169" s="33">
        <f t="shared" si="288"/>
        <v>7.6762500000000016E-3</v>
      </c>
      <c r="L1169" s="33"/>
      <c r="O1169" s="2">
        <f t="shared" si="290"/>
        <v>9.5833333333333343E-3</v>
      </c>
      <c r="P1169" s="2">
        <f t="shared" si="291"/>
        <v>6.9000000000000012</v>
      </c>
      <c r="Q1169" s="7">
        <f t="shared" si="292"/>
        <v>31.250000000000007</v>
      </c>
      <c r="R1169" s="2">
        <v>1.2</v>
      </c>
      <c r="S1169" s="2">
        <f t="shared" si="286"/>
        <v>4.45</v>
      </c>
      <c r="T1169" s="2"/>
      <c r="U1169" s="2"/>
      <c r="Y1169" s="8">
        <f t="shared" si="287"/>
        <v>1.1125000000000003</v>
      </c>
    </row>
    <row r="1170" spans="1:25" x14ac:dyDescent="0.25">
      <c r="A1170" s="34">
        <f t="shared" si="289"/>
        <v>1162</v>
      </c>
      <c r="B1170" s="35" t="e">
        <f t="shared" si="289"/>
        <v>#REF!</v>
      </c>
      <c r="C1170" s="42" t="s">
        <v>330</v>
      </c>
      <c r="D1170" s="43" t="s">
        <v>332</v>
      </c>
      <c r="E1170" s="43"/>
      <c r="F1170" s="36">
        <v>8.1600000000000006E-2</v>
      </c>
      <c r="G1170" s="36">
        <v>1.6075200000000001E-2</v>
      </c>
      <c r="H1170" s="36">
        <v>7.3499999999999996E-2</v>
      </c>
      <c r="I1170" s="37">
        <f t="shared" ref="I1170:I1178" si="293">H1170*0.15</f>
        <v>1.1024999999999998E-2</v>
      </c>
      <c r="J1170" s="32">
        <f t="shared" si="285"/>
        <v>0.1635375</v>
      </c>
      <c r="K1170" s="33">
        <f t="shared" si="288"/>
        <v>2.4530625E-2</v>
      </c>
      <c r="L1170" s="33"/>
      <c r="O1170" s="2">
        <f t="shared" si="290"/>
        <v>3.0624999999999999E-2</v>
      </c>
      <c r="P1170" s="2">
        <f t="shared" si="291"/>
        <v>22.05</v>
      </c>
      <c r="Q1170" s="7">
        <f t="shared" si="292"/>
        <v>99.864130434782609</v>
      </c>
      <c r="R1170" s="2">
        <v>1.2</v>
      </c>
      <c r="S1170" s="2">
        <f t="shared" si="286"/>
        <v>4.45</v>
      </c>
      <c r="T1170" s="2"/>
      <c r="U1170" s="2"/>
      <c r="Y1170" s="8">
        <f t="shared" si="287"/>
        <v>3.5551630434782608</v>
      </c>
    </row>
    <row r="1171" spans="1:25" x14ac:dyDescent="0.25">
      <c r="A1171" s="34">
        <f t="shared" si="289"/>
        <v>1163</v>
      </c>
      <c r="B1171" s="35" t="e">
        <f t="shared" si="289"/>
        <v>#REF!</v>
      </c>
      <c r="C1171" s="42" t="s">
        <v>330</v>
      </c>
      <c r="D1171" s="43">
        <v>181</v>
      </c>
      <c r="E1171" s="43"/>
      <c r="F1171" s="36">
        <v>0.3836</v>
      </c>
      <c r="G1171" s="36">
        <v>7.5569200000000003E-2</v>
      </c>
      <c r="H1171" s="36">
        <v>0.23169999999999999</v>
      </c>
      <c r="I1171" s="37">
        <f t="shared" si="293"/>
        <v>3.4754999999999994E-2</v>
      </c>
      <c r="J1171" s="32">
        <f t="shared" si="285"/>
        <v>0.41126749999999995</v>
      </c>
      <c r="K1171" s="33">
        <f t="shared" si="288"/>
        <v>6.1690124999999991E-2</v>
      </c>
      <c r="L1171" s="33"/>
      <c r="O1171" s="2">
        <f t="shared" si="290"/>
        <v>9.6541666666666665E-2</v>
      </c>
      <c r="P1171" s="2">
        <f t="shared" si="291"/>
        <v>69.510000000000005</v>
      </c>
      <c r="Q1171" s="7">
        <f t="shared" si="292"/>
        <v>314.80978260869568</v>
      </c>
      <c r="R1171" s="2">
        <v>1.2</v>
      </c>
      <c r="S1171" s="2">
        <f t="shared" si="286"/>
        <v>3.55</v>
      </c>
      <c r="T1171" s="2"/>
      <c r="U1171" s="2"/>
      <c r="Y1171" s="8">
        <f t="shared" si="287"/>
        <v>8.9405978260869556</v>
      </c>
    </row>
    <row r="1172" spans="1:25" x14ac:dyDescent="0.25">
      <c r="A1172" s="34">
        <f t="shared" si="289"/>
        <v>1164</v>
      </c>
      <c r="B1172" s="35" t="e">
        <f t="shared" si="289"/>
        <v>#REF!</v>
      </c>
      <c r="C1172" s="40" t="s">
        <v>333</v>
      </c>
      <c r="D1172" s="35">
        <v>93</v>
      </c>
      <c r="E1172" s="35">
        <v>1</v>
      </c>
      <c r="F1172" s="36">
        <v>0.1532</v>
      </c>
      <c r="G1172" s="36">
        <f t="shared" ref="G1172:G1178" si="294">F1172*0.197</f>
        <v>3.0180400000000003E-2</v>
      </c>
      <c r="H1172" s="36">
        <v>5.6899999999999999E-2</v>
      </c>
      <c r="I1172" s="37">
        <f t="shared" si="293"/>
        <v>8.5349999999999992E-3</v>
      </c>
      <c r="J1172" s="32">
        <f t="shared" si="285"/>
        <v>0.12660250000000001</v>
      </c>
      <c r="K1172" s="33">
        <f t="shared" si="288"/>
        <v>1.8990375E-2</v>
      </c>
      <c r="L1172" s="33"/>
      <c r="O1172" s="2">
        <f t="shared" si="290"/>
        <v>2.3708333333333335E-2</v>
      </c>
      <c r="P1172" s="2">
        <f t="shared" si="291"/>
        <v>17.07</v>
      </c>
      <c r="Q1172" s="7">
        <f t="shared" si="292"/>
        <v>77.309782608695656</v>
      </c>
      <c r="R1172" s="2">
        <v>1.2</v>
      </c>
      <c r="S1172" s="2">
        <f t="shared" si="286"/>
        <v>4.45</v>
      </c>
      <c r="T1172" s="2"/>
      <c r="U1172" s="2"/>
      <c r="Y1172" s="8">
        <f t="shared" si="287"/>
        <v>2.7522282608695652</v>
      </c>
    </row>
    <row r="1173" spans="1:25" x14ac:dyDescent="0.25">
      <c r="A1173" s="34">
        <f t="shared" si="289"/>
        <v>1165</v>
      </c>
      <c r="B1173" s="35" t="e">
        <f t="shared" si="289"/>
        <v>#REF!</v>
      </c>
      <c r="C1173" s="40" t="s">
        <v>333</v>
      </c>
      <c r="D1173" s="35">
        <v>93</v>
      </c>
      <c r="E1173" s="35">
        <v>2</v>
      </c>
      <c r="F1173" s="36">
        <v>0.1532</v>
      </c>
      <c r="G1173" s="36">
        <f t="shared" si="294"/>
        <v>3.0180400000000003E-2</v>
      </c>
      <c r="H1173" s="36">
        <v>5.6899999999999999E-2</v>
      </c>
      <c r="I1173" s="37">
        <f t="shared" si="293"/>
        <v>8.5349999999999992E-3</v>
      </c>
      <c r="J1173" s="32">
        <f t="shared" si="285"/>
        <v>0.12660250000000001</v>
      </c>
      <c r="K1173" s="33">
        <f t="shared" si="288"/>
        <v>1.8990375E-2</v>
      </c>
      <c r="L1173" s="33"/>
      <c r="O1173" s="2">
        <f t="shared" si="290"/>
        <v>2.3708333333333335E-2</v>
      </c>
      <c r="P1173" s="2">
        <f t="shared" si="291"/>
        <v>17.07</v>
      </c>
      <c r="Q1173" s="7">
        <f t="shared" si="292"/>
        <v>77.309782608695656</v>
      </c>
      <c r="R1173" s="2">
        <v>1.2</v>
      </c>
      <c r="S1173" s="2">
        <f t="shared" si="286"/>
        <v>4.45</v>
      </c>
      <c r="T1173" s="2"/>
      <c r="U1173" s="2"/>
      <c r="Y1173" s="8">
        <f t="shared" si="287"/>
        <v>2.7522282608695652</v>
      </c>
    </row>
    <row r="1174" spans="1:25" x14ac:dyDescent="0.25">
      <c r="A1174" s="34">
        <f t="shared" si="289"/>
        <v>1166</v>
      </c>
      <c r="B1174" s="35" t="e">
        <f t="shared" si="289"/>
        <v>#REF!</v>
      </c>
      <c r="C1174" s="40" t="s">
        <v>333</v>
      </c>
      <c r="D1174" s="35">
        <v>93</v>
      </c>
      <c r="E1174" s="35">
        <v>3</v>
      </c>
      <c r="F1174" s="36">
        <v>0.1532</v>
      </c>
      <c r="G1174" s="36">
        <f t="shared" si="294"/>
        <v>3.0180400000000003E-2</v>
      </c>
      <c r="H1174" s="36">
        <v>5.6899999999999999E-2</v>
      </c>
      <c r="I1174" s="37">
        <f t="shared" si="293"/>
        <v>8.5349999999999992E-3</v>
      </c>
      <c r="J1174" s="32">
        <f t="shared" si="285"/>
        <v>0.12660250000000001</v>
      </c>
      <c r="K1174" s="33">
        <f t="shared" si="288"/>
        <v>1.8990375E-2</v>
      </c>
      <c r="L1174" s="33"/>
      <c r="O1174" s="2">
        <f t="shared" si="290"/>
        <v>2.3708333333333335E-2</v>
      </c>
      <c r="P1174" s="2">
        <f t="shared" si="291"/>
        <v>17.07</v>
      </c>
      <c r="Q1174" s="7">
        <f t="shared" si="292"/>
        <v>77.309782608695656</v>
      </c>
      <c r="R1174" s="2">
        <v>1.2</v>
      </c>
      <c r="S1174" s="2">
        <f t="shared" si="286"/>
        <v>4.45</v>
      </c>
      <c r="T1174" s="2"/>
      <c r="U1174" s="2"/>
      <c r="Y1174" s="8">
        <f t="shared" si="287"/>
        <v>2.7522282608695652</v>
      </c>
    </row>
    <row r="1175" spans="1:25" x14ac:dyDescent="0.25">
      <c r="A1175" s="34">
        <f t="shared" si="289"/>
        <v>1167</v>
      </c>
      <c r="B1175" s="35" t="e">
        <f t="shared" si="289"/>
        <v>#REF!</v>
      </c>
      <c r="C1175" s="40" t="s">
        <v>333</v>
      </c>
      <c r="D1175" s="35">
        <v>93</v>
      </c>
      <c r="E1175" s="35">
        <v>4</v>
      </c>
      <c r="F1175" s="36">
        <v>0.1532</v>
      </c>
      <c r="G1175" s="36">
        <f t="shared" si="294"/>
        <v>3.0180400000000003E-2</v>
      </c>
      <c r="H1175" s="36">
        <v>5.6899999999999999E-2</v>
      </c>
      <c r="I1175" s="37">
        <f t="shared" si="293"/>
        <v>8.5349999999999992E-3</v>
      </c>
      <c r="J1175" s="32">
        <f t="shared" si="285"/>
        <v>0.12660250000000001</v>
      </c>
      <c r="K1175" s="33">
        <f t="shared" si="288"/>
        <v>1.8990375E-2</v>
      </c>
      <c r="L1175" s="33"/>
      <c r="O1175" s="2">
        <f t="shared" si="290"/>
        <v>2.3708333333333335E-2</v>
      </c>
      <c r="P1175" s="2">
        <f t="shared" si="291"/>
        <v>17.07</v>
      </c>
      <c r="Q1175" s="7">
        <f t="shared" si="292"/>
        <v>77.309782608695656</v>
      </c>
      <c r="R1175" s="2">
        <v>1.2</v>
      </c>
      <c r="S1175" s="2">
        <f t="shared" si="286"/>
        <v>4.45</v>
      </c>
      <c r="T1175" s="2"/>
      <c r="U1175" s="2"/>
      <c r="Y1175" s="8">
        <f t="shared" si="287"/>
        <v>2.7522282608695652</v>
      </c>
    </row>
    <row r="1176" spans="1:25" x14ac:dyDescent="0.25">
      <c r="A1176" s="34">
        <f t="shared" si="289"/>
        <v>1168</v>
      </c>
      <c r="B1176" s="35" t="e">
        <f t="shared" si="289"/>
        <v>#REF!</v>
      </c>
      <c r="C1176" s="40" t="s">
        <v>334</v>
      </c>
      <c r="D1176" s="35">
        <v>111</v>
      </c>
      <c r="E1176" s="35"/>
      <c r="F1176" s="36">
        <v>0.14910000000000001</v>
      </c>
      <c r="G1176" s="36">
        <f t="shared" si="294"/>
        <v>2.9372700000000002E-2</v>
      </c>
      <c r="H1176" s="36">
        <v>7.0650000000000004E-2</v>
      </c>
      <c r="I1176" s="37">
        <f t="shared" si="293"/>
        <v>1.0597500000000001E-2</v>
      </c>
      <c r="J1176" s="32">
        <f t="shared" si="285"/>
        <v>0.15719625000000001</v>
      </c>
      <c r="K1176" s="33">
        <f t="shared" si="288"/>
        <v>2.3579437500000001E-2</v>
      </c>
      <c r="L1176" s="33"/>
      <c r="O1176" s="2">
        <f t="shared" si="290"/>
        <v>2.9437500000000002E-2</v>
      </c>
      <c r="P1176" s="2">
        <f t="shared" si="291"/>
        <v>21.195</v>
      </c>
      <c r="Q1176" s="7">
        <f t="shared" si="292"/>
        <v>95.991847826086953</v>
      </c>
      <c r="R1176" s="2">
        <v>1.2</v>
      </c>
      <c r="S1176" s="2">
        <f t="shared" si="286"/>
        <v>4.45</v>
      </c>
      <c r="T1176" s="2"/>
      <c r="U1176" s="2"/>
      <c r="Y1176" s="8">
        <f t="shared" si="287"/>
        <v>3.417309782608696</v>
      </c>
    </row>
    <row r="1177" spans="1:25" x14ac:dyDescent="0.25">
      <c r="A1177" s="34">
        <f t="shared" si="289"/>
        <v>1169</v>
      </c>
      <c r="B1177" s="35" t="e">
        <f t="shared" si="289"/>
        <v>#REF!</v>
      </c>
      <c r="C1177" s="40" t="s">
        <v>334</v>
      </c>
      <c r="D1177" s="35">
        <v>113</v>
      </c>
      <c r="E1177" s="35">
        <v>1</v>
      </c>
      <c r="F1177" s="36">
        <v>9.7900000000000001E-2</v>
      </c>
      <c r="G1177" s="36">
        <f t="shared" si="294"/>
        <v>1.9286299999999999E-2</v>
      </c>
      <c r="H1177" s="36">
        <v>5.0099999999999999E-2</v>
      </c>
      <c r="I1177" s="37">
        <f t="shared" si="293"/>
        <v>7.5149999999999991E-3</v>
      </c>
      <c r="J1177" s="32">
        <f t="shared" si="285"/>
        <v>0.1114725</v>
      </c>
      <c r="K1177" s="33">
        <f t="shared" si="288"/>
        <v>1.6720875E-2</v>
      </c>
      <c r="L1177" s="33"/>
      <c r="O1177" s="2">
        <f t="shared" si="290"/>
        <v>2.0875000000000001E-2</v>
      </c>
      <c r="P1177" s="2">
        <f t="shared" si="291"/>
        <v>15.03</v>
      </c>
      <c r="Q1177" s="7">
        <f t="shared" si="292"/>
        <v>68.070652173913047</v>
      </c>
      <c r="R1177" s="2">
        <v>1.2</v>
      </c>
      <c r="S1177" s="2">
        <f t="shared" si="286"/>
        <v>4.45</v>
      </c>
      <c r="T1177" s="2"/>
      <c r="U1177" s="2"/>
      <c r="Y1177" s="8">
        <f t="shared" si="287"/>
        <v>2.4233152173913042</v>
      </c>
    </row>
    <row r="1178" spans="1:25" x14ac:dyDescent="0.25">
      <c r="A1178" s="34">
        <f t="shared" si="289"/>
        <v>1170</v>
      </c>
      <c r="B1178" s="35" t="e">
        <f t="shared" si="289"/>
        <v>#REF!</v>
      </c>
      <c r="C1178" s="40" t="s">
        <v>334</v>
      </c>
      <c r="D1178" s="35">
        <v>113</v>
      </c>
      <c r="E1178" s="35">
        <v>2</v>
      </c>
      <c r="F1178" s="36">
        <v>9.7900000000000001E-2</v>
      </c>
      <c r="G1178" s="36">
        <f t="shared" si="294"/>
        <v>1.9286299999999999E-2</v>
      </c>
      <c r="H1178" s="36">
        <v>5.0099999999999999E-2</v>
      </c>
      <c r="I1178" s="37">
        <f t="shared" si="293"/>
        <v>7.5149999999999991E-3</v>
      </c>
      <c r="J1178" s="32">
        <f t="shared" si="285"/>
        <v>0.1114725</v>
      </c>
      <c r="K1178" s="33">
        <f t="shared" si="288"/>
        <v>1.6720875E-2</v>
      </c>
      <c r="L1178" s="33"/>
      <c r="O1178" s="2">
        <f t="shared" si="290"/>
        <v>2.0875000000000001E-2</v>
      </c>
      <c r="P1178" s="2">
        <f t="shared" si="291"/>
        <v>15.03</v>
      </c>
      <c r="Q1178" s="7">
        <f t="shared" si="292"/>
        <v>68.070652173913047</v>
      </c>
      <c r="R1178" s="2">
        <v>1.2</v>
      </c>
      <c r="S1178" s="2">
        <f t="shared" si="286"/>
        <v>4.45</v>
      </c>
      <c r="T1178" s="2"/>
      <c r="U1178" s="2"/>
      <c r="Y1178" s="8">
        <f t="shared" si="287"/>
        <v>2.4233152173913042</v>
      </c>
    </row>
    <row r="1179" spans="1:25" x14ac:dyDescent="0.25">
      <c r="A1179" s="34">
        <f t="shared" ref="A1179:B1194" si="295">A1178+1</f>
        <v>1171</v>
      </c>
      <c r="B1179" s="35" t="e">
        <f t="shared" si="295"/>
        <v>#REF!</v>
      </c>
      <c r="C1179" s="42" t="s">
        <v>335</v>
      </c>
      <c r="D1179" s="43">
        <v>1</v>
      </c>
      <c r="E1179" s="43"/>
      <c r="F1179" s="36">
        <v>6.7000000000000004E-2</v>
      </c>
      <c r="G1179" s="36">
        <v>1.3199000000000001E-2</v>
      </c>
      <c r="H1179" s="36">
        <v>2.87E-2</v>
      </c>
      <c r="I1179" s="37">
        <v>4.3049999999999998E-3</v>
      </c>
      <c r="J1179" s="32">
        <f t="shared" si="285"/>
        <v>6.3857499999999998E-2</v>
      </c>
      <c r="K1179" s="33">
        <f t="shared" si="288"/>
        <v>9.5786249999999986E-3</v>
      </c>
      <c r="L1179" s="33"/>
      <c r="O1179" s="2">
        <f t="shared" si="290"/>
        <v>1.1958333333333333E-2</v>
      </c>
      <c r="P1179" s="2">
        <f t="shared" si="291"/>
        <v>8.61</v>
      </c>
      <c r="Q1179" s="7">
        <f t="shared" si="292"/>
        <v>38.994565217391305</v>
      </c>
      <c r="R1179" s="2">
        <v>1.2</v>
      </c>
      <c r="S1179" s="2">
        <f t="shared" si="286"/>
        <v>4.45</v>
      </c>
      <c r="T1179" s="2"/>
      <c r="U1179" s="2"/>
      <c r="Y1179" s="8">
        <f t="shared" si="287"/>
        <v>1.3882065217391304</v>
      </c>
    </row>
    <row r="1180" spans="1:25" x14ac:dyDescent="0.25">
      <c r="A1180" s="34">
        <f t="shared" si="295"/>
        <v>1172</v>
      </c>
      <c r="B1180" s="35" t="e">
        <f t="shared" si="295"/>
        <v>#REF!</v>
      </c>
      <c r="C1180" s="42" t="s">
        <v>335</v>
      </c>
      <c r="D1180" s="43">
        <v>4</v>
      </c>
      <c r="E1180" s="43">
        <v>1</v>
      </c>
      <c r="F1180" s="36">
        <v>8.8099999999999998E-2</v>
      </c>
      <c r="G1180" s="36">
        <v>1.7355700000000002E-2</v>
      </c>
      <c r="H1180" s="36">
        <v>3.8600000000000002E-2</v>
      </c>
      <c r="I1180" s="37">
        <v>5.79E-3</v>
      </c>
      <c r="J1180" s="32">
        <f t="shared" si="285"/>
        <v>8.5885000000000003E-2</v>
      </c>
      <c r="K1180" s="33">
        <f t="shared" si="288"/>
        <v>1.288275E-2</v>
      </c>
      <c r="L1180" s="33"/>
      <c r="O1180" s="2">
        <f t="shared" si="290"/>
        <v>1.6083333333333335E-2</v>
      </c>
      <c r="P1180" s="2">
        <f t="shared" si="291"/>
        <v>11.58</v>
      </c>
      <c r="Q1180" s="7">
        <f t="shared" si="292"/>
        <v>52.445652173913047</v>
      </c>
      <c r="R1180" s="2">
        <v>1.2</v>
      </c>
      <c r="S1180" s="2">
        <f t="shared" si="286"/>
        <v>4.45</v>
      </c>
      <c r="T1180" s="2"/>
      <c r="U1180" s="2"/>
      <c r="Y1180" s="8">
        <f t="shared" si="287"/>
        <v>1.8670652173913045</v>
      </c>
    </row>
    <row r="1181" spans="1:25" x14ac:dyDescent="0.25">
      <c r="A1181" s="34">
        <f t="shared" si="295"/>
        <v>1173</v>
      </c>
      <c r="B1181" s="35" t="e">
        <f t="shared" si="295"/>
        <v>#REF!</v>
      </c>
      <c r="C1181" s="42" t="s">
        <v>335</v>
      </c>
      <c r="D1181" s="43">
        <v>4</v>
      </c>
      <c r="E1181" s="43">
        <v>2</v>
      </c>
      <c r="F1181" s="36">
        <v>8.8099999999999998E-2</v>
      </c>
      <c r="G1181" s="36">
        <v>1.7355700000000002E-2</v>
      </c>
      <c r="H1181" s="36">
        <v>3.8600000000000002E-2</v>
      </c>
      <c r="I1181" s="37">
        <v>5.79E-3</v>
      </c>
      <c r="J1181" s="32">
        <f t="shared" si="285"/>
        <v>8.5885000000000003E-2</v>
      </c>
      <c r="K1181" s="33">
        <f t="shared" si="288"/>
        <v>1.288275E-2</v>
      </c>
      <c r="L1181" s="33"/>
      <c r="O1181" s="2">
        <f t="shared" si="290"/>
        <v>1.6083333333333335E-2</v>
      </c>
      <c r="P1181" s="2">
        <f t="shared" si="291"/>
        <v>11.58</v>
      </c>
      <c r="Q1181" s="7">
        <f t="shared" si="292"/>
        <v>52.445652173913047</v>
      </c>
      <c r="R1181" s="2">
        <v>1.2</v>
      </c>
      <c r="S1181" s="2">
        <f t="shared" si="286"/>
        <v>4.45</v>
      </c>
      <c r="T1181" s="2"/>
      <c r="U1181" s="2"/>
      <c r="Y1181" s="8">
        <f t="shared" si="287"/>
        <v>1.8670652173913045</v>
      </c>
    </row>
    <row r="1182" spans="1:25" x14ac:dyDescent="0.25">
      <c r="A1182" s="34">
        <f t="shared" si="295"/>
        <v>1174</v>
      </c>
      <c r="B1182" s="35" t="e">
        <f t="shared" si="295"/>
        <v>#REF!</v>
      </c>
      <c r="C1182" s="42" t="s">
        <v>335</v>
      </c>
      <c r="D1182" s="43">
        <v>5</v>
      </c>
      <c r="E1182" s="43"/>
      <c r="F1182" s="36">
        <v>3.8699999999999998E-2</v>
      </c>
      <c r="G1182" s="36">
        <v>7.6239000000000003E-3</v>
      </c>
      <c r="H1182" s="36">
        <v>2.7300000000000001E-2</v>
      </c>
      <c r="I1182" s="37">
        <v>4.0949999999999997E-3</v>
      </c>
      <c r="J1182" s="32">
        <f t="shared" si="285"/>
        <v>6.0742500000000005E-2</v>
      </c>
      <c r="K1182" s="33">
        <f t="shared" si="288"/>
        <v>9.1113749999999997E-3</v>
      </c>
      <c r="L1182" s="24" t="s">
        <v>16</v>
      </c>
      <c r="O1182" s="2">
        <f t="shared" si="290"/>
        <v>1.1375000000000001E-2</v>
      </c>
      <c r="P1182" s="2">
        <f t="shared" si="291"/>
        <v>8.1900000000000013</v>
      </c>
      <c r="Q1182" s="7">
        <f t="shared" si="292"/>
        <v>37.092391304347835</v>
      </c>
      <c r="R1182" s="2">
        <v>1.2</v>
      </c>
      <c r="S1182" s="2">
        <f t="shared" si="286"/>
        <v>4.45</v>
      </c>
      <c r="T1182" s="2"/>
      <c r="U1182" s="2"/>
      <c r="Y1182" s="8">
        <f t="shared" si="287"/>
        <v>1.3204891304347828</v>
      </c>
    </row>
    <row r="1183" spans="1:25" x14ac:dyDescent="0.25">
      <c r="A1183" s="34">
        <f t="shared" si="295"/>
        <v>1175</v>
      </c>
      <c r="B1183" s="35" t="e">
        <f t="shared" si="295"/>
        <v>#REF!</v>
      </c>
      <c r="C1183" s="42" t="s">
        <v>335</v>
      </c>
      <c r="D1183" s="43">
        <v>6</v>
      </c>
      <c r="E1183" s="43">
        <v>1</v>
      </c>
      <c r="F1183" s="36">
        <v>0.1222</v>
      </c>
      <c r="G1183" s="36">
        <v>2.4073399999999998E-2</v>
      </c>
      <c r="H1183" s="36">
        <v>6.6400000000000001E-2</v>
      </c>
      <c r="I1183" s="37">
        <v>9.9600000000000001E-3</v>
      </c>
      <c r="J1183" s="32">
        <f t="shared" si="285"/>
        <v>0.14774000000000001</v>
      </c>
      <c r="K1183" s="33">
        <f t="shared" si="288"/>
        <v>2.2161E-2</v>
      </c>
      <c r="L1183" s="33"/>
      <c r="O1183" s="2">
        <f t="shared" si="290"/>
        <v>2.7666666666666669E-2</v>
      </c>
      <c r="P1183" s="2">
        <f t="shared" si="291"/>
        <v>19.920000000000002</v>
      </c>
      <c r="Q1183" s="7">
        <f t="shared" si="292"/>
        <v>90.217391304347842</v>
      </c>
      <c r="R1183" s="2">
        <v>1.2</v>
      </c>
      <c r="S1183" s="2">
        <f t="shared" si="286"/>
        <v>4.45</v>
      </c>
      <c r="T1183" s="2"/>
      <c r="U1183" s="2"/>
      <c r="Y1183" s="8">
        <f t="shared" si="287"/>
        <v>3.2117391304347827</v>
      </c>
    </row>
    <row r="1184" spans="1:25" x14ac:dyDescent="0.25">
      <c r="A1184" s="34">
        <f t="shared" si="295"/>
        <v>1176</v>
      </c>
      <c r="B1184" s="35" t="e">
        <f t="shared" si="295"/>
        <v>#REF!</v>
      </c>
      <c r="C1184" s="42" t="s">
        <v>335</v>
      </c>
      <c r="D1184" s="43">
        <v>6</v>
      </c>
      <c r="E1184" s="43">
        <v>2</v>
      </c>
      <c r="F1184" s="36">
        <v>0.1244</v>
      </c>
      <c r="G1184" s="36">
        <v>2.4506799999999999E-2</v>
      </c>
      <c r="H1184" s="36">
        <v>6.7599999999999993E-2</v>
      </c>
      <c r="I1184" s="37">
        <v>1.014E-2</v>
      </c>
      <c r="J1184" s="32">
        <f t="shared" si="285"/>
        <v>0.15040999999999999</v>
      </c>
      <c r="K1184" s="33">
        <f t="shared" si="288"/>
        <v>2.2561499999999998E-2</v>
      </c>
      <c r="L1184" s="33"/>
      <c r="O1184" s="2">
        <f t="shared" si="290"/>
        <v>2.8166666666666666E-2</v>
      </c>
      <c r="P1184" s="2">
        <f t="shared" si="291"/>
        <v>20.279999999999998</v>
      </c>
      <c r="Q1184" s="7">
        <f t="shared" si="292"/>
        <v>91.847826086956516</v>
      </c>
      <c r="R1184" s="2">
        <v>1.2</v>
      </c>
      <c r="S1184" s="2">
        <f t="shared" si="286"/>
        <v>4.45</v>
      </c>
      <c r="T1184" s="2"/>
      <c r="U1184" s="2"/>
      <c r="Y1184" s="8">
        <f t="shared" si="287"/>
        <v>3.2697826086956518</v>
      </c>
    </row>
    <row r="1185" spans="1:25" x14ac:dyDescent="0.25">
      <c r="A1185" s="34">
        <f t="shared" si="295"/>
        <v>1177</v>
      </c>
      <c r="B1185" s="35" t="e">
        <f t="shared" si="295"/>
        <v>#REF!</v>
      </c>
      <c r="C1185" s="42" t="s">
        <v>335</v>
      </c>
      <c r="D1185" s="43">
        <v>7</v>
      </c>
      <c r="E1185" s="43"/>
      <c r="F1185" s="36">
        <v>3.8199999999999998E-2</v>
      </c>
      <c r="G1185" s="36">
        <v>7.5253999999999998E-3</v>
      </c>
      <c r="H1185" s="36">
        <v>2.6499999999999999E-2</v>
      </c>
      <c r="I1185" s="37">
        <v>3.9750000000000002E-3</v>
      </c>
      <c r="J1185" s="32">
        <f t="shared" si="285"/>
        <v>5.8962500000000001E-2</v>
      </c>
      <c r="K1185" s="33">
        <f t="shared" si="288"/>
        <v>8.8443749999999998E-3</v>
      </c>
      <c r="L1185" s="24" t="s">
        <v>16</v>
      </c>
      <c r="O1185" s="2">
        <f t="shared" si="290"/>
        <v>1.1041666666666667E-2</v>
      </c>
      <c r="P1185" s="2">
        <f t="shared" si="291"/>
        <v>7.95</v>
      </c>
      <c r="Q1185" s="7">
        <f t="shared" si="292"/>
        <v>36.005434782608695</v>
      </c>
      <c r="R1185" s="2">
        <v>1.2</v>
      </c>
      <c r="S1185" s="2">
        <f t="shared" si="286"/>
        <v>4.45</v>
      </c>
      <c r="T1185" s="2"/>
      <c r="U1185" s="2"/>
      <c r="Y1185" s="8">
        <f t="shared" si="287"/>
        <v>1.2817934782608695</v>
      </c>
    </row>
    <row r="1186" spans="1:25" x14ac:dyDescent="0.25">
      <c r="A1186" s="34">
        <f t="shared" si="295"/>
        <v>1178</v>
      </c>
      <c r="B1186" s="35" t="e">
        <f t="shared" si="295"/>
        <v>#REF!</v>
      </c>
      <c r="C1186" s="42" t="s">
        <v>335</v>
      </c>
      <c r="D1186" s="43">
        <v>9</v>
      </c>
      <c r="E1186" s="43"/>
      <c r="F1186" s="36">
        <v>2.5399999999999999E-2</v>
      </c>
      <c r="G1186" s="36">
        <v>5.0038000000000001E-3</v>
      </c>
      <c r="H1186" s="36">
        <v>7.4000000000000003E-3</v>
      </c>
      <c r="I1186" s="37">
        <v>1.1100000000000001E-3</v>
      </c>
      <c r="J1186" s="32">
        <f t="shared" si="285"/>
        <v>1.6465E-2</v>
      </c>
      <c r="K1186" s="33">
        <f t="shared" si="288"/>
        <v>2.4697500000000002E-3</v>
      </c>
      <c r="L1186" s="24" t="s">
        <v>16</v>
      </c>
      <c r="O1186" s="2">
        <f t="shared" si="290"/>
        <v>3.0833333333333338E-3</v>
      </c>
      <c r="P1186" s="2">
        <f t="shared" si="291"/>
        <v>2.2200000000000002</v>
      </c>
      <c r="Q1186" s="7">
        <f t="shared" si="292"/>
        <v>10.054347826086957</v>
      </c>
      <c r="R1186" s="2">
        <v>1.2</v>
      </c>
      <c r="S1186" s="2">
        <f t="shared" si="286"/>
        <v>4.45</v>
      </c>
      <c r="T1186" s="2"/>
      <c r="U1186" s="2"/>
      <c r="Y1186" s="8">
        <f t="shared" si="287"/>
        <v>0.35793478260869566</v>
      </c>
    </row>
    <row r="1187" spans="1:25" x14ac:dyDescent="0.25">
      <c r="A1187" s="34">
        <f t="shared" si="295"/>
        <v>1179</v>
      </c>
      <c r="B1187" s="35" t="e">
        <f t="shared" si="295"/>
        <v>#REF!</v>
      </c>
      <c r="C1187" s="42" t="s">
        <v>335</v>
      </c>
      <c r="D1187" s="43">
        <v>11</v>
      </c>
      <c r="E1187" s="43"/>
      <c r="F1187" s="36">
        <v>2.63E-2</v>
      </c>
      <c r="G1187" s="36">
        <v>5.1811000000000001E-3</v>
      </c>
      <c r="H1187" s="36">
        <v>6.6E-3</v>
      </c>
      <c r="I1187" s="37">
        <v>9.8999999999999999E-4</v>
      </c>
      <c r="J1187" s="32">
        <f t="shared" si="285"/>
        <v>1.4685000000000002E-2</v>
      </c>
      <c r="K1187" s="33">
        <f t="shared" si="288"/>
        <v>2.2027500000000003E-3</v>
      </c>
      <c r="L1187" s="24" t="s">
        <v>16</v>
      </c>
      <c r="O1187" s="2">
        <f t="shared" si="290"/>
        <v>2.7500000000000003E-3</v>
      </c>
      <c r="P1187" s="2">
        <f t="shared" si="291"/>
        <v>1.98</v>
      </c>
      <c r="Q1187" s="7">
        <f t="shared" si="292"/>
        <v>8.9673913043478262</v>
      </c>
      <c r="R1187" s="2">
        <v>1.2</v>
      </c>
      <c r="S1187" s="2">
        <f t="shared" si="286"/>
        <v>4.45</v>
      </c>
      <c r="T1187" s="2"/>
      <c r="U1187" s="2"/>
      <c r="Y1187" s="8">
        <f t="shared" si="287"/>
        <v>0.31923913043478264</v>
      </c>
    </row>
    <row r="1188" spans="1:25" x14ac:dyDescent="0.25">
      <c r="A1188" s="34">
        <f t="shared" si="295"/>
        <v>1180</v>
      </c>
      <c r="B1188" s="35" t="e">
        <f t="shared" si="295"/>
        <v>#REF!</v>
      </c>
      <c r="C1188" s="42" t="s">
        <v>335</v>
      </c>
      <c r="D1188" s="43">
        <v>12</v>
      </c>
      <c r="E1188" s="43">
        <v>1</v>
      </c>
      <c r="F1188" s="36">
        <v>0.1285</v>
      </c>
      <c r="G1188" s="36">
        <v>2.53145E-2</v>
      </c>
      <c r="H1188" s="36">
        <v>0.1051</v>
      </c>
      <c r="I1188" s="37">
        <v>1.5765000000000001E-2</v>
      </c>
      <c r="J1188" s="32">
        <f t="shared" si="285"/>
        <v>0.23384750000000001</v>
      </c>
      <c r="K1188" s="33">
        <f t="shared" si="288"/>
        <v>3.5077125000000001E-2</v>
      </c>
      <c r="L1188" s="24" t="s">
        <v>16</v>
      </c>
      <c r="O1188" s="2">
        <f t="shared" si="290"/>
        <v>4.3791666666666666E-2</v>
      </c>
      <c r="P1188" s="2">
        <f t="shared" si="291"/>
        <v>31.529999999999998</v>
      </c>
      <c r="Q1188" s="7">
        <f t="shared" si="292"/>
        <v>142.79891304347825</v>
      </c>
      <c r="R1188" s="2">
        <v>1.2</v>
      </c>
      <c r="S1188" s="2">
        <f t="shared" si="286"/>
        <v>4.45</v>
      </c>
      <c r="T1188" s="2"/>
      <c r="U1188" s="2"/>
      <c r="Y1188" s="8">
        <f t="shared" si="287"/>
        <v>5.0836413043478261</v>
      </c>
    </row>
    <row r="1189" spans="1:25" x14ac:dyDescent="0.25">
      <c r="A1189" s="34">
        <f t="shared" si="295"/>
        <v>1181</v>
      </c>
      <c r="B1189" s="35" t="e">
        <f t="shared" si="295"/>
        <v>#REF!</v>
      </c>
      <c r="C1189" s="42" t="s">
        <v>335</v>
      </c>
      <c r="D1189" s="43">
        <v>12</v>
      </c>
      <c r="E1189" s="43">
        <v>2</v>
      </c>
      <c r="F1189" s="36">
        <v>0.12959999999999999</v>
      </c>
      <c r="G1189" s="36">
        <v>2.55312E-2</v>
      </c>
      <c r="H1189" s="36">
        <v>0.1061</v>
      </c>
      <c r="I1189" s="37">
        <v>1.5914999999999999E-2</v>
      </c>
      <c r="J1189" s="32">
        <f t="shared" si="285"/>
        <v>0.23607250000000002</v>
      </c>
      <c r="K1189" s="33">
        <f t="shared" si="288"/>
        <v>3.5410875000000001E-2</v>
      </c>
      <c r="L1189" s="33"/>
      <c r="O1189" s="2">
        <f t="shared" si="290"/>
        <v>4.4208333333333336E-2</v>
      </c>
      <c r="P1189" s="2">
        <f t="shared" si="291"/>
        <v>31.83</v>
      </c>
      <c r="Q1189" s="7">
        <f t="shared" si="292"/>
        <v>144.15760869565216</v>
      </c>
      <c r="R1189" s="2">
        <v>1.2</v>
      </c>
      <c r="S1189" s="2">
        <f t="shared" si="286"/>
        <v>4.45</v>
      </c>
      <c r="T1189" s="2"/>
      <c r="U1189" s="2"/>
      <c r="Y1189" s="8">
        <f t="shared" si="287"/>
        <v>5.1320108695652173</v>
      </c>
    </row>
    <row r="1190" spans="1:25" x14ac:dyDescent="0.25">
      <c r="A1190" s="34">
        <f t="shared" si="295"/>
        <v>1182</v>
      </c>
      <c r="B1190" s="35" t="e">
        <f t="shared" si="295"/>
        <v>#REF!</v>
      </c>
      <c r="C1190" s="42" t="s">
        <v>335</v>
      </c>
      <c r="D1190" s="43">
        <v>13</v>
      </c>
      <c r="E1190" s="43"/>
      <c r="F1190" s="36">
        <v>2.5600000000000001E-2</v>
      </c>
      <c r="G1190" s="36">
        <v>5.0432000000000003E-3</v>
      </c>
      <c r="H1190" s="36">
        <v>8.8000000000000005E-3</v>
      </c>
      <c r="I1190" s="37">
        <v>1.32E-3</v>
      </c>
      <c r="J1190" s="32">
        <f t="shared" si="285"/>
        <v>1.9580000000000004E-2</v>
      </c>
      <c r="K1190" s="33">
        <f t="shared" si="288"/>
        <v>2.9370000000000004E-3</v>
      </c>
      <c r="L1190" s="33"/>
      <c r="O1190" s="2">
        <f t="shared" si="290"/>
        <v>3.666666666666667E-3</v>
      </c>
      <c r="P1190" s="2">
        <f t="shared" si="291"/>
        <v>2.64</v>
      </c>
      <c r="Q1190" s="7">
        <f t="shared" si="292"/>
        <v>11.956521739130435</v>
      </c>
      <c r="R1190" s="2">
        <v>1.2</v>
      </c>
      <c r="S1190" s="2">
        <f t="shared" si="286"/>
        <v>4.45</v>
      </c>
      <c r="T1190" s="2"/>
      <c r="U1190" s="2"/>
      <c r="Y1190" s="8">
        <f t="shared" si="287"/>
        <v>0.42565217391304355</v>
      </c>
    </row>
    <row r="1191" spans="1:25" x14ac:dyDescent="0.25">
      <c r="A1191" s="34">
        <f t="shared" si="295"/>
        <v>1183</v>
      </c>
      <c r="B1191" s="35" t="e">
        <f t="shared" si="295"/>
        <v>#REF!</v>
      </c>
      <c r="C1191" s="42" t="s">
        <v>335</v>
      </c>
      <c r="D1191" s="43">
        <v>14</v>
      </c>
      <c r="E1191" s="43"/>
      <c r="F1191" s="36">
        <v>0.18</v>
      </c>
      <c r="G1191" s="36">
        <v>3.5459999999999998E-2</v>
      </c>
      <c r="H1191" s="36">
        <v>9.7900000000000001E-2</v>
      </c>
      <c r="I1191" s="37">
        <v>1.4685E-2</v>
      </c>
      <c r="J1191" s="32">
        <f t="shared" si="285"/>
        <v>0.21782750000000001</v>
      </c>
      <c r="K1191" s="33">
        <f t="shared" si="288"/>
        <v>3.2674124999999998E-2</v>
      </c>
      <c r="L1191" s="33"/>
      <c r="O1191" s="2">
        <f t="shared" si="290"/>
        <v>4.0791666666666671E-2</v>
      </c>
      <c r="P1191" s="2">
        <f t="shared" si="291"/>
        <v>29.370000000000005</v>
      </c>
      <c r="Q1191" s="7">
        <f t="shared" si="292"/>
        <v>133.01630434782612</v>
      </c>
      <c r="R1191" s="2">
        <v>1.2</v>
      </c>
      <c r="S1191" s="2">
        <f t="shared" si="286"/>
        <v>4.45</v>
      </c>
      <c r="T1191" s="2"/>
      <c r="U1191" s="2"/>
      <c r="Y1191" s="8">
        <f t="shared" si="287"/>
        <v>4.7353804347826092</v>
      </c>
    </row>
    <row r="1192" spans="1:25" x14ac:dyDescent="0.25">
      <c r="A1192" s="34">
        <f t="shared" si="295"/>
        <v>1184</v>
      </c>
      <c r="B1192" s="35"/>
      <c r="C1192" s="42" t="s">
        <v>335</v>
      </c>
      <c r="D1192" s="43" t="s">
        <v>29</v>
      </c>
      <c r="E1192" s="43"/>
      <c r="F1192" s="36">
        <v>0.1183</v>
      </c>
      <c r="G1192" s="36">
        <v>2.3305099999999999E-2</v>
      </c>
      <c r="H1192" s="36">
        <v>0</v>
      </c>
      <c r="I1192" s="37">
        <v>0</v>
      </c>
      <c r="J1192" s="32">
        <f t="shared" si="285"/>
        <v>0</v>
      </c>
      <c r="K1192" s="33">
        <f t="shared" si="288"/>
        <v>0</v>
      </c>
      <c r="L1192" s="33"/>
      <c r="O1192" s="2">
        <f t="shared" si="290"/>
        <v>0</v>
      </c>
      <c r="P1192" s="2">
        <f t="shared" si="291"/>
        <v>0</v>
      </c>
      <c r="Q1192" s="7">
        <f t="shared" si="292"/>
        <v>0</v>
      </c>
      <c r="R1192" s="2">
        <v>1.2</v>
      </c>
      <c r="S1192" s="2">
        <f t="shared" si="286"/>
        <v>4.45</v>
      </c>
      <c r="T1192" s="2"/>
      <c r="U1192" s="2"/>
      <c r="Y1192" s="8">
        <f t="shared" si="287"/>
        <v>0</v>
      </c>
    </row>
    <row r="1193" spans="1:25" x14ac:dyDescent="0.25">
      <c r="A1193" s="34">
        <f t="shared" si="295"/>
        <v>1185</v>
      </c>
      <c r="B1193" s="35" t="e">
        <f>B1191+1</f>
        <v>#REF!</v>
      </c>
      <c r="C1193" s="42" t="s">
        <v>335</v>
      </c>
      <c r="D1193" s="43">
        <v>15</v>
      </c>
      <c r="E1193" s="43"/>
      <c r="F1193" s="36">
        <v>2.7099999999999999E-2</v>
      </c>
      <c r="G1193" s="36">
        <v>5.3387E-3</v>
      </c>
      <c r="H1193" s="36">
        <v>8.0000000000000002E-3</v>
      </c>
      <c r="I1193" s="37">
        <v>1.1999999999999999E-3</v>
      </c>
      <c r="J1193" s="32">
        <f t="shared" si="285"/>
        <v>1.78E-2</v>
      </c>
      <c r="K1193" s="33">
        <f t="shared" si="288"/>
        <v>2.6700000000000001E-3</v>
      </c>
      <c r="L1193" s="24" t="s">
        <v>16</v>
      </c>
      <c r="O1193" s="2">
        <f t="shared" si="290"/>
        <v>3.3333333333333335E-3</v>
      </c>
      <c r="P1193" s="2">
        <f t="shared" si="291"/>
        <v>2.4</v>
      </c>
      <c r="Q1193" s="7">
        <f t="shared" si="292"/>
        <v>10.869565217391305</v>
      </c>
      <c r="R1193" s="2">
        <v>1.2</v>
      </c>
      <c r="S1193" s="2">
        <f t="shared" si="286"/>
        <v>4.45</v>
      </c>
      <c r="T1193" s="2"/>
      <c r="U1193" s="2"/>
      <c r="Y1193" s="8">
        <f t="shared" si="287"/>
        <v>0.38695652173913048</v>
      </c>
    </row>
    <row r="1194" spans="1:25" x14ac:dyDescent="0.25">
      <c r="A1194" s="34">
        <f t="shared" si="295"/>
        <v>1186</v>
      </c>
      <c r="B1194" s="35" t="e">
        <f t="shared" si="295"/>
        <v>#REF!</v>
      </c>
      <c r="C1194" s="42" t="s">
        <v>335</v>
      </c>
      <c r="D1194" s="43">
        <v>16</v>
      </c>
      <c r="E1194" s="43"/>
      <c r="F1194" s="36">
        <v>0.18</v>
      </c>
      <c r="G1194" s="36">
        <v>3.5459999999999998E-2</v>
      </c>
      <c r="H1194" s="36">
        <v>8.0199999999999994E-2</v>
      </c>
      <c r="I1194" s="37">
        <v>1.2030000000000001E-2</v>
      </c>
      <c r="J1194" s="32">
        <f t="shared" si="285"/>
        <v>0.17844499999999999</v>
      </c>
      <c r="K1194" s="33">
        <f t="shared" si="288"/>
        <v>2.6766749999999999E-2</v>
      </c>
      <c r="L1194" s="33"/>
      <c r="O1194" s="2">
        <f t="shared" si="290"/>
        <v>3.3416666666666664E-2</v>
      </c>
      <c r="P1194" s="2">
        <f t="shared" si="291"/>
        <v>24.06</v>
      </c>
      <c r="Q1194" s="7">
        <f t="shared" si="292"/>
        <v>108.96739130434783</v>
      </c>
      <c r="R1194" s="2">
        <v>1.2</v>
      </c>
      <c r="S1194" s="2">
        <f t="shared" si="286"/>
        <v>4.45</v>
      </c>
      <c r="T1194" s="2"/>
      <c r="U1194" s="2"/>
      <c r="Y1194" s="8">
        <f t="shared" si="287"/>
        <v>3.8792391304347822</v>
      </c>
    </row>
    <row r="1195" spans="1:25" x14ac:dyDescent="0.25">
      <c r="A1195" s="34">
        <f t="shared" ref="A1195:B1210" si="296">A1194+1</f>
        <v>1187</v>
      </c>
      <c r="B1195" s="35" t="e">
        <f t="shared" si="296"/>
        <v>#REF!</v>
      </c>
      <c r="C1195" s="42" t="s">
        <v>335</v>
      </c>
      <c r="D1195" s="43">
        <v>17</v>
      </c>
      <c r="E1195" s="43"/>
      <c r="F1195" s="36">
        <v>0.1085</v>
      </c>
      <c r="G1195" s="36">
        <v>2.1374500000000001E-2</v>
      </c>
      <c r="H1195" s="36">
        <v>4.4900000000000002E-2</v>
      </c>
      <c r="I1195" s="37">
        <v>6.7349999999999997E-3</v>
      </c>
      <c r="J1195" s="32">
        <f t="shared" si="285"/>
        <v>9.9902500000000005E-2</v>
      </c>
      <c r="K1195" s="33">
        <f t="shared" si="288"/>
        <v>1.4985375E-2</v>
      </c>
      <c r="L1195" s="33"/>
      <c r="O1195" s="2">
        <f t="shared" si="290"/>
        <v>1.8708333333333334E-2</v>
      </c>
      <c r="P1195" s="2">
        <f t="shared" si="291"/>
        <v>13.47</v>
      </c>
      <c r="Q1195" s="7">
        <f t="shared" si="292"/>
        <v>61.005434782608702</v>
      </c>
      <c r="R1195" s="2">
        <v>1.2</v>
      </c>
      <c r="S1195" s="2">
        <f t="shared" si="286"/>
        <v>4.45</v>
      </c>
      <c r="T1195" s="2"/>
      <c r="U1195" s="2"/>
      <c r="Y1195" s="8">
        <f t="shared" si="287"/>
        <v>2.1717934782608697</v>
      </c>
    </row>
    <row r="1196" spans="1:25" x14ac:dyDescent="0.25">
      <c r="A1196" s="34">
        <f t="shared" si="296"/>
        <v>1188</v>
      </c>
      <c r="B1196" s="35" t="e">
        <f t="shared" si="296"/>
        <v>#REF!</v>
      </c>
      <c r="C1196" s="42" t="s">
        <v>335</v>
      </c>
      <c r="D1196" s="43">
        <v>18</v>
      </c>
      <c r="E1196" s="43"/>
      <c r="F1196" s="36">
        <v>0.18</v>
      </c>
      <c r="G1196" s="36">
        <v>3.5459999999999998E-2</v>
      </c>
      <c r="H1196" s="36">
        <v>8.1000000000000003E-2</v>
      </c>
      <c r="I1196" s="37">
        <v>1.2149999999999999E-2</v>
      </c>
      <c r="J1196" s="32">
        <f t="shared" si="285"/>
        <v>0.18022500000000002</v>
      </c>
      <c r="K1196" s="33">
        <f t="shared" si="288"/>
        <v>2.7033750000000002E-2</v>
      </c>
      <c r="L1196" s="33"/>
      <c r="O1196" s="2">
        <f t="shared" si="290"/>
        <v>3.3750000000000002E-2</v>
      </c>
      <c r="P1196" s="2">
        <f t="shared" si="291"/>
        <v>24.3</v>
      </c>
      <c r="Q1196" s="7">
        <f t="shared" si="292"/>
        <v>110.05434782608697</v>
      </c>
      <c r="R1196" s="2">
        <v>1.2</v>
      </c>
      <c r="S1196" s="2">
        <f t="shared" si="286"/>
        <v>4.45</v>
      </c>
      <c r="T1196" s="2"/>
      <c r="U1196" s="2"/>
      <c r="Y1196" s="8">
        <f t="shared" si="287"/>
        <v>3.9179347826086963</v>
      </c>
    </row>
    <row r="1197" spans="1:25" x14ac:dyDescent="0.25">
      <c r="A1197" s="34">
        <f t="shared" si="296"/>
        <v>1189</v>
      </c>
      <c r="B1197" s="35" t="e">
        <f t="shared" si="296"/>
        <v>#REF!</v>
      </c>
      <c r="C1197" s="42" t="s">
        <v>335</v>
      </c>
      <c r="D1197" s="43" t="s">
        <v>336</v>
      </c>
      <c r="E1197" s="43">
        <v>1</v>
      </c>
      <c r="F1197" s="36">
        <v>8.9599999999999999E-2</v>
      </c>
      <c r="G1197" s="36">
        <v>1.7651199999999999E-2</v>
      </c>
      <c r="H1197" s="36">
        <v>9.7900000000000001E-2</v>
      </c>
      <c r="I1197" s="37">
        <f>H1197*0.15</f>
        <v>1.4685E-2</v>
      </c>
      <c r="J1197" s="32">
        <f t="shared" si="285"/>
        <v>0.21782750000000001</v>
      </c>
      <c r="K1197" s="33">
        <f t="shared" si="288"/>
        <v>3.2674124999999998E-2</v>
      </c>
      <c r="L1197" s="33"/>
      <c r="O1197" s="2">
        <f t="shared" si="290"/>
        <v>4.0791666666666671E-2</v>
      </c>
      <c r="P1197" s="2">
        <f t="shared" si="291"/>
        <v>29.370000000000005</v>
      </c>
      <c r="Q1197" s="7">
        <f t="shared" si="292"/>
        <v>133.01630434782612</v>
      </c>
      <c r="R1197" s="2">
        <v>1.2</v>
      </c>
      <c r="S1197" s="2">
        <f t="shared" si="286"/>
        <v>4.45</v>
      </c>
      <c r="T1197" s="2"/>
      <c r="U1197" s="2"/>
      <c r="Y1197" s="8">
        <f t="shared" si="287"/>
        <v>4.7353804347826092</v>
      </c>
    </row>
    <row r="1198" spans="1:25" x14ac:dyDescent="0.25">
      <c r="A1198" s="34">
        <f t="shared" si="296"/>
        <v>1190</v>
      </c>
      <c r="B1198" s="35" t="e">
        <f t="shared" si="296"/>
        <v>#REF!</v>
      </c>
      <c r="C1198" s="42" t="s">
        <v>335</v>
      </c>
      <c r="D1198" s="43" t="s">
        <v>336</v>
      </c>
      <c r="E1198" s="43">
        <v>2</v>
      </c>
      <c r="F1198" s="36">
        <v>9.2700000000000005E-2</v>
      </c>
      <c r="G1198" s="36">
        <v>1.8261900000000001E-2</v>
      </c>
      <c r="H1198" s="36">
        <v>0</v>
      </c>
      <c r="I1198" s="37">
        <v>0</v>
      </c>
      <c r="J1198" s="32">
        <f t="shared" si="285"/>
        <v>0</v>
      </c>
      <c r="K1198" s="33">
        <f t="shared" si="288"/>
        <v>0</v>
      </c>
      <c r="L1198" s="33"/>
      <c r="O1198" s="2">
        <f t="shared" si="290"/>
        <v>0</v>
      </c>
      <c r="P1198" s="2">
        <f t="shared" si="291"/>
        <v>0</v>
      </c>
      <c r="Q1198" s="7">
        <f t="shared" si="292"/>
        <v>0</v>
      </c>
      <c r="R1198" s="2">
        <v>1.2</v>
      </c>
      <c r="S1198" s="2">
        <f t="shared" si="286"/>
        <v>4.45</v>
      </c>
      <c r="T1198" s="2"/>
      <c r="U1198" s="2"/>
      <c r="Y1198" s="8">
        <f t="shared" si="287"/>
        <v>0</v>
      </c>
    </row>
    <row r="1199" spans="1:25" x14ac:dyDescent="0.25">
      <c r="A1199" s="34">
        <f t="shared" si="296"/>
        <v>1191</v>
      </c>
      <c r="B1199" s="35" t="e">
        <f t="shared" si="296"/>
        <v>#REF!</v>
      </c>
      <c r="C1199" s="42" t="s">
        <v>335</v>
      </c>
      <c r="D1199" s="43">
        <v>19</v>
      </c>
      <c r="E1199" s="43"/>
      <c r="F1199" s="36">
        <v>0.109</v>
      </c>
      <c r="G1199" s="36">
        <v>2.1472999999999999E-2</v>
      </c>
      <c r="H1199" s="36">
        <v>4.6399999999999997E-2</v>
      </c>
      <c r="I1199" s="37">
        <v>6.96E-3</v>
      </c>
      <c r="J1199" s="32">
        <f t="shared" si="285"/>
        <v>0.10324000000000001</v>
      </c>
      <c r="K1199" s="33">
        <f t="shared" si="288"/>
        <v>1.5486000000000002E-2</v>
      </c>
      <c r="L1199" s="33"/>
      <c r="O1199" s="2">
        <f t="shared" si="290"/>
        <v>1.9333333333333334E-2</v>
      </c>
      <c r="P1199" s="2">
        <f t="shared" si="291"/>
        <v>13.92</v>
      </c>
      <c r="Q1199" s="7">
        <f t="shared" si="292"/>
        <v>63.043478260869563</v>
      </c>
      <c r="R1199" s="2">
        <v>1.2</v>
      </c>
      <c r="S1199" s="2">
        <f t="shared" si="286"/>
        <v>4.45</v>
      </c>
      <c r="T1199" s="2"/>
      <c r="U1199" s="2"/>
      <c r="Y1199" s="8">
        <f t="shared" si="287"/>
        <v>2.2443478260869569</v>
      </c>
    </row>
    <row r="1200" spans="1:25" x14ac:dyDescent="0.25">
      <c r="A1200" s="34">
        <f t="shared" si="296"/>
        <v>1192</v>
      </c>
      <c r="B1200" s="35" t="e">
        <f t="shared" si="296"/>
        <v>#REF!</v>
      </c>
      <c r="C1200" s="42" t="s">
        <v>335</v>
      </c>
      <c r="D1200" s="43">
        <v>21</v>
      </c>
      <c r="E1200" s="43"/>
      <c r="F1200" s="36">
        <v>0.1119</v>
      </c>
      <c r="G1200" s="36">
        <v>2.2044299999999999E-2</v>
      </c>
      <c r="H1200" s="36">
        <v>5.5899999999999998E-2</v>
      </c>
      <c r="I1200" s="37">
        <v>8.3850000000000001E-3</v>
      </c>
      <c r="J1200" s="32">
        <f t="shared" si="285"/>
        <v>0.1243775</v>
      </c>
      <c r="K1200" s="33">
        <f t="shared" si="288"/>
        <v>1.8656625E-2</v>
      </c>
      <c r="L1200" s="33"/>
      <c r="O1200" s="2">
        <f t="shared" si="290"/>
        <v>2.3291666666666665E-2</v>
      </c>
      <c r="P1200" s="2">
        <f t="shared" si="291"/>
        <v>16.77</v>
      </c>
      <c r="Q1200" s="7">
        <f t="shared" si="292"/>
        <v>75.951086956521735</v>
      </c>
      <c r="R1200" s="2">
        <v>1.2</v>
      </c>
      <c r="S1200" s="2">
        <f t="shared" si="286"/>
        <v>4.45</v>
      </c>
      <c r="T1200" s="2"/>
      <c r="U1200" s="2"/>
      <c r="Y1200" s="8">
        <f t="shared" si="287"/>
        <v>2.703858695652174</v>
      </c>
    </row>
    <row r="1201" spans="1:25" x14ac:dyDescent="0.25">
      <c r="A1201" s="34">
        <f t="shared" si="296"/>
        <v>1193</v>
      </c>
      <c r="B1201" s="35" t="e">
        <f t="shared" si="296"/>
        <v>#REF!</v>
      </c>
      <c r="C1201" s="42" t="s">
        <v>335</v>
      </c>
      <c r="D1201" s="43">
        <v>22</v>
      </c>
      <c r="E1201" s="43"/>
      <c r="F1201" s="36">
        <v>0.15429999999999999</v>
      </c>
      <c r="G1201" s="36">
        <v>3.03971E-2</v>
      </c>
      <c r="H1201" s="36">
        <v>9.1300000000000006E-2</v>
      </c>
      <c r="I1201" s="37">
        <v>1.3695000000000001E-2</v>
      </c>
      <c r="J1201" s="32">
        <f t="shared" si="285"/>
        <v>0.20314250000000003</v>
      </c>
      <c r="K1201" s="33">
        <f t="shared" si="288"/>
        <v>3.0471375000000002E-2</v>
      </c>
      <c r="L1201" s="33"/>
      <c r="O1201" s="2">
        <f t="shared" si="290"/>
        <v>3.8041666666666668E-2</v>
      </c>
      <c r="P1201" s="2">
        <f t="shared" si="291"/>
        <v>27.39</v>
      </c>
      <c r="Q1201" s="7">
        <f t="shared" si="292"/>
        <v>124.04891304347827</v>
      </c>
      <c r="R1201" s="2">
        <v>1.2</v>
      </c>
      <c r="S1201" s="2">
        <f t="shared" si="286"/>
        <v>4.45</v>
      </c>
      <c r="T1201" s="2"/>
      <c r="U1201" s="2"/>
      <c r="Y1201" s="8">
        <f t="shared" si="287"/>
        <v>4.4161413043478266</v>
      </c>
    </row>
    <row r="1202" spans="1:25" x14ac:dyDescent="0.25">
      <c r="A1202" s="34">
        <f t="shared" si="296"/>
        <v>1194</v>
      </c>
      <c r="B1202" s="35" t="e">
        <f t="shared" si="296"/>
        <v>#REF!</v>
      </c>
      <c r="C1202" s="42" t="s">
        <v>335</v>
      </c>
      <c r="D1202" s="43">
        <v>24</v>
      </c>
      <c r="E1202" s="43">
        <v>1</v>
      </c>
      <c r="F1202" s="36">
        <v>7.1550000000000002E-2</v>
      </c>
      <c r="G1202" s="36">
        <v>1.409535E-2</v>
      </c>
      <c r="H1202" s="36">
        <v>2.8500000000000001E-2</v>
      </c>
      <c r="I1202" s="37">
        <v>4.2750000000000002E-3</v>
      </c>
      <c r="J1202" s="32">
        <f t="shared" si="285"/>
        <v>6.3412499999999997E-2</v>
      </c>
      <c r="K1202" s="33">
        <f t="shared" si="288"/>
        <v>9.5118749999999995E-3</v>
      </c>
      <c r="L1202" s="33"/>
      <c r="O1202" s="2">
        <f t="shared" si="290"/>
        <v>1.1875E-2</v>
      </c>
      <c r="P1202" s="2">
        <f t="shared" si="291"/>
        <v>8.5500000000000007</v>
      </c>
      <c r="Q1202" s="7">
        <f t="shared" si="292"/>
        <v>38.722826086956523</v>
      </c>
      <c r="R1202" s="2">
        <v>1.2</v>
      </c>
      <c r="S1202" s="2">
        <f t="shared" si="286"/>
        <v>4.45</v>
      </c>
      <c r="T1202" s="2"/>
      <c r="U1202" s="2"/>
      <c r="Y1202" s="8">
        <f t="shared" si="287"/>
        <v>1.378532608695652</v>
      </c>
    </row>
    <row r="1203" spans="1:25" x14ac:dyDescent="0.25">
      <c r="A1203" s="34">
        <f t="shared" si="296"/>
        <v>1195</v>
      </c>
      <c r="B1203" s="35" t="e">
        <f t="shared" si="296"/>
        <v>#REF!</v>
      </c>
      <c r="C1203" s="42" t="s">
        <v>335</v>
      </c>
      <c r="D1203" s="43">
        <v>24</v>
      </c>
      <c r="E1203" s="43">
        <v>2</v>
      </c>
      <c r="F1203" s="36">
        <v>7.1499999999999994E-2</v>
      </c>
      <c r="G1203" s="36">
        <v>1.4085500000000001E-2</v>
      </c>
      <c r="H1203" s="36">
        <v>2.8500000000000001E-2</v>
      </c>
      <c r="I1203" s="37">
        <v>4.2750000000000002E-3</v>
      </c>
      <c r="J1203" s="32">
        <f t="shared" si="285"/>
        <v>6.3412499999999997E-2</v>
      </c>
      <c r="K1203" s="33">
        <f t="shared" si="288"/>
        <v>9.5118749999999995E-3</v>
      </c>
      <c r="L1203" s="33"/>
      <c r="O1203" s="2">
        <f t="shared" si="290"/>
        <v>1.1875E-2</v>
      </c>
      <c r="P1203" s="2">
        <f t="shared" si="291"/>
        <v>8.5500000000000007</v>
      </c>
      <c r="Q1203" s="7">
        <f t="shared" si="292"/>
        <v>38.722826086956523</v>
      </c>
      <c r="R1203" s="2">
        <v>1.2</v>
      </c>
      <c r="S1203" s="2">
        <f t="shared" si="286"/>
        <v>4.45</v>
      </c>
      <c r="T1203" s="2"/>
      <c r="U1203" s="2"/>
      <c r="Y1203" s="8">
        <f t="shared" si="287"/>
        <v>1.378532608695652</v>
      </c>
    </row>
    <row r="1204" spans="1:25" x14ac:dyDescent="0.25">
      <c r="A1204" s="34">
        <f t="shared" si="296"/>
        <v>1196</v>
      </c>
      <c r="B1204" s="35" t="e">
        <f t="shared" si="296"/>
        <v>#REF!</v>
      </c>
      <c r="C1204" s="42" t="s">
        <v>335</v>
      </c>
      <c r="D1204" s="43">
        <v>24</v>
      </c>
      <c r="E1204" s="43">
        <v>3</v>
      </c>
      <c r="F1204" s="36">
        <v>7.1550000000000002E-2</v>
      </c>
      <c r="G1204" s="36">
        <v>1.409535E-2</v>
      </c>
      <c r="H1204" s="36">
        <v>2.8500000000000001E-2</v>
      </c>
      <c r="I1204" s="37">
        <v>4.2750000000000002E-3</v>
      </c>
      <c r="J1204" s="32">
        <f t="shared" si="285"/>
        <v>6.3412499999999997E-2</v>
      </c>
      <c r="K1204" s="33">
        <f t="shared" si="288"/>
        <v>9.5118749999999995E-3</v>
      </c>
      <c r="L1204" s="33"/>
      <c r="O1204" s="2">
        <f t="shared" si="290"/>
        <v>1.1875E-2</v>
      </c>
      <c r="P1204" s="2">
        <f t="shared" si="291"/>
        <v>8.5500000000000007</v>
      </c>
      <c r="Q1204" s="7">
        <f t="shared" si="292"/>
        <v>38.722826086956523</v>
      </c>
      <c r="R1204" s="2">
        <v>1.2</v>
      </c>
      <c r="S1204" s="2">
        <f t="shared" si="286"/>
        <v>4.45</v>
      </c>
      <c r="T1204" s="2"/>
      <c r="U1204" s="2"/>
      <c r="Y1204" s="8">
        <f t="shared" si="287"/>
        <v>1.378532608695652</v>
      </c>
    </row>
    <row r="1205" spans="1:25" x14ac:dyDescent="0.25">
      <c r="A1205" s="34">
        <f t="shared" si="296"/>
        <v>1197</v>
      </c>
      <c r="B1205" s="35" t="e">
        <f t="shared" si="296"/>
        <v>#REF!</v>
      </c>
      <c r="C1205" s="42" t="s">
        <v>335</v>
      </c>
      <c r="D1205" s="43">
        <v>24</v>
      </c>
      <c r="E1205" s="43">
        <v>4</v>
      </c>
      <c r="F1205" s="36">
        <v>7.1499999999999994E-2</v>
      </c>
      <c r="G1205" s="36">
        <v>1.4085500000000001E-2</v>
      </c>
      <c r="H1205" s="36">
        <v>2.8500000000000001E-2</v>
      </c>
      <c r="I1205" s="37">
        <v>4.2750000000000002E-3</v>
      </c>
      <c r="J1205" s="32">
        <f t="shared" si="285"/>
        <v>6.3412499999999997E-2</v>
      </c>
      <c r="K1205" s="33">
        <f t="shared" si="288"/>
        <v>9.5118749999999995E-3</v>
      </c>
      <c r="L1205" s="33"/>
      <c r="O1205" s="2">
        <f t="shared" si="290"/>
        <v>1.1875E-2</v>
      </c>
      <c r="P1205" s="2">
        <f t="shared" si="291"/>
        <v>8.5500000000000007</v>
      </c>
      <c r="Q1205" s="7">
        <f t="shared" si="292"/>
        <v>38.722826086956523</v>
      </c>
      <c r="R1205" s="2">
        <v>1.2</v>
      </c>
      <c r="S1205" s="2">
        <f t="shared" si="286"/>
        <v>4.45</v>
      </c>
      <c r="T1205" s="2"/>
      <c r="U1205" s="2"/>
      <c r="Y1205" s="8">
        <f t="shared" si="287"/>
        <v>1.378532608695652</v>
      </c>
    </row>
    <row r="1206" spans="1:25" x14ac:dyDescent="0.25">
      <c r="A1206" s="34">
        <f t="shared" si="296"/>
        <v>1198</v>
      </c>
      <c r="B1206" s="35" t="e">
        <f t="shared" si="296"/>
        <v>#REF!</v>
      </c>
      <c r="C1206" s="42" t="s">
        <v>335</v>
      </c>
      <c r="D1206" s="43">
        <v>28</v>
      </c>
      <c r="E1206" s="43"/>
      <c r="F1206" s="36">
        <v>0.16320000000000001</v>
      </c>
      <c r="G1206" s="36">
        <v>3.2150400000000003E-2</v>
      </c>
      <c r="H1206" s="36">
        <v>4.7100000000000003E-2</v>
      </c>
      <c r="I1206" s="37">
        <v>7.0650000000000001E-3</v>
      </c>
      <c r="J1206" s="32">
        <f t="shared" si="285"/>
        <v>0.10479750000000003</v>
      </c>
      <c r="K1206" s="33">
        <f t="shared" si="288"/>
        <v>1.5719625000000004E-2</v>
      </c>
      <c r="L1206" s="33"/>
      <c r="O1206" s="2">
        <f t="shared" si="290"/>
        <v>1.9625000000000004E-2</v>
      </c>
      <c r="P1206" s="2">
        <f t="shared" si="291"/>
        <v>14.130000000000003</v>
      </c>
      <c r="Q1206" s="7">
        <f t="shared" si="292"/>
        <v>63.994565217391319</v>
      </c>
      <c r="R1206" s="2">
        <v>1.2</v>
      </c>
      <c r="S1206" s="2">
        <f t="shared" si="286"/>
        <v>4.45</v>
      </c>
      <c r="T1206" s="2"/>
      <c r="U1206" s="2"/>
      <c r="Y1206" s="8">
        <f t="shared" si="287"/>
        <v>2.278206521739131</v>
      </c>
    </row>
    <row r="1207" spans="1:25" x14ac:dyDescent="0.25">
      <c r="A1207" s="34">
        <f t="shared" si="296"/>
        <v>1199</v>
      </c>
      <c r="B1207" s="35" t="e">
        <f t="shared" si="296"/>
        <v>#REF!</v>
      </c>
      <c r="C1207" s="42" t="s">
        <v>335</v>
      </c>
      <c r="D1207" s="43">
        <v>30</v>
      </c>
      <c r="E1207" s="43"/>
      <c r="F1207" s="36">
        <v>0.11600000000000001</v>
      </c>
      <c r="G1207" s="36">
        <v>2.2852000000000001E-2</v>
      </c>
      <c r="H1207" s="36">
        <v>0.10970000000000001</v>
      </c>
      <c r="I1207" s="37">
        <v>1.6455000000000001E-2</v>
      </c>
      <c r="J1207" s="32">
        <f t="shared" si="285"/>
        <v>0.24408250000000004</v>
      </c>
      <c r="K1207" s="33">
        <f t="shared" si="288"/>
        <v>3.6612375000000003E-2</v>
      </c>
      <c r="L1207" s="33"/>
      <c r="O1207" s="2">
        <f t="shared" si="290"/>
        <v>4.5708333333333337E-2</v>
      </c>
      <c r="P1207" s="2">
        <f t="shared" si="291"/>
        <v>32.909999999999997</v>
      </c>
      <c r="Q1207" s="7">
        <f t="shared" si="292"/>
        <v>149.04891304347825</v>
      </c>
      <c r="R1207" s="2">
        <v>1.2</v>
      </c>
      <c r="S1207" s="2">
        <f t="shared" si="286"/>
        <v>4.45</v>
      </c>
      <c r="T1207" s="2"/>
      <c r="U1207" s="2"/>
      <c r="Y1207" s="8">
        <f t="shared" si="287"/>
        <v>5.3061413043478272</v>
      </c>
    </row>
    <row r="1208" spans="1:25" x14ac:dyDescent="0.25">
      <c r="A1208" s="34">
        <f t="shared" si="296"/>
        <v>1200</v>
      </c>
      <c r="B1208" s="35" t="e">
        <f t="shared" si="296"/>
        <v>#REF!</v>
      </c>
      <c r="C1208" s="42" t="s">
        <v>335</v>
      </c>
      <c r="D1208" s="43">
        <v>32</v>
      </c>
      <c r="E1208" s="43"/>
      <c r="F1208" s="36">
        <v>0.15340000000000001</v>
      </c>
      <c r="G1208" s="36">
        <v>3.0219800000000002E-2</v>
      </c>
      <c r="H1208" s="36">
        <v>7.8E-2</v>
      </c>
      <c r="I1208" s="37">
        <v>1.17E-2</v>
      </c>
      <c r="J1208" s="32">
        <f t="shared" si="285"/>
        <v>0.17355000000000001</v>
      </c>
      <c r="K1208" s="33">
        <f t="shared" si="288"/>
        <v>2.60325E-2</v>
      </c>
      <c r="L1208" s="33"/>
      <c r="O1208" s="2">
        <f t="shared" si="290"/>
        <v>3.2500000000000001E-2</v>
      </c>
      <c r="P1208" s="2">
        <f t="shared" si="291"/>
        <v>23.400000000000002</v>
      </c>
      <c r="Q1208" s="7">
        <f t="shared" si="292"/>
        <v>105.97826086956523</v>
      </c>
      <c r="R1208" s="2">
        <v>1.2</v>
      </c>
      <c r="S1208" s="2">
        <f t="shared" si="286"/>
        <v>4.45</v>
      </c>
      <c r="T1208" s="2"/>
      <c r="U1208" s="2"/>
      <c r="Y1208" s="8">
        <f t="shared" si="287"/>
        <v>3.7728260869565218</v>
      </c>
    </row>
    <row r="1209" spans="1:25" x14ac:dyDescent="0.25">
      <c r="A1209" s="34">
        <f t="shared" si="296"/>
        <v>1201</v>
      </c>
      <c r="B1209" s="35" t="e">
        <f t="shared" si="296"/>
        <v>#REF!</v>
      </c>
      <c r="C1209" s="42" t="s">
        <v>335</v>
      </c>
      <c r="D1209" s="43">
        <v>33</v>
      </c>
      <c r="E1209" s="43"/>
      <c r="F1209" s="36">
        <v>7.9500000000000001E-2</v>
      </c>
      <c r="G1209" s="36">
        <v>1.5661499999999998E-2</v>
      </c>
      <c r="H1209" s="36">
        <v>3.9699999999999999E-2</v>
      </c>
      <c r="I1209" s="37">
        <v>5.9550000000000002E-3</v>
      </c>
      <c r="J1209" s="32">
        <f t="shared" si="285"/>
        <v>8.8332500000000008E-2</v>
      </c>
      <c r="K1209" s="33">
        <f t="shared" si="288"/>
        <v>1.3249875000000001E-2</v>
      </c>
      <c r="L1209" s="24" t="s">
        <v>16</v>
      </c>
      <c r="O1209" s="2">
        <f t="shared" si="290"/>
        <v>1.6541666666666666E-2</v>
      </c>
      <c r="P1209" s="2">
        <f t="shared" si="291"/>
        <v>11.91</v>
      </c>
      <c r="Q1209" s="7">
        <f t="shared" si="292"/>
        <v>53.940217391304351</v>
      </c>
      <c r="R1209" s="2">
        <v>1.2</v>
      </c>
      <c r="S1209" s="2">
        <f t="shared" si="286"/>
        <v>4.45</v>
      </c>
      <c r="T1209" s="2"/>
      <c r="U1209" s="2"/>
      <c r="Y1209" s="8">
        <f t="shared" si="287"/>
        <v>1.9202717391304349</v>
      </c>
    </row>
    <row r="1210" spans="1:25" x14ac:dyDescent="0.25">
      <c r="A1210" s="34">
        <f t="shared" si="296"/>
        <v>1202</v>
      </c>
      <c r="B1210" s="35"/>
      <c r="C1210" s="42" t="s">
        <v>335</v>
      </c>
      <c r="D1210" s="43">
        <v>34</v>
      </c>
      <c r="E1210" s="43"/>
      <c r="F1210" s="36">
        <v>0.15278600000000001</v>
      </c>
      <c r="G1210" s="36">
        <v>3.0098842000000001E-2</v>
      </c>
      <c r="H1210" s="36">
        <v>0</v>
      </c>
      <c r="I1210" s="37">
        <v>0</v>
      </c>
      <c r="J1210" s="32">
        <f t="shared" si="285"/>
        <v>0</v>
      </c>
      <c r="K1210" s="33">
        <f t="shared" si="288"/>
        <v>0</v>
      </c>
      <c r="L1210" s="33"/>
      <c r="O1210" s="2">
        <f t="shared" si="290"/>
        <v>0</v>
      </c>
      <c r="P1210" s="2">
        <f t="shared" si="291"/>
        <v>0</v>
      </c>
      <c r="Q1210" s="7">
        <f t="shared" si="292"/>
        <v>0</v>
      </c>
      <c r="R1210" s="2">
        <v>1.2</v>
      </c>
      <c r="S1210" s="2">
        <f t="shared" si="286"/>
        <v>4.45</v>
      </c>
      <c r="T1210" s="2"/>
      <c r="U1210" s="2"/>
      <c r="Y1210" s="8">
        <f t="shared" si="287"/>
        <v>0</v>
      </c>
    </row>
    <row r="1211" spans="1:25" x14ac:dyDescent="0.25">
      <c r="A1211" s="34">
        <f t="shared" ref="A1211:B1226" si="297">A1210+1</f>
        <v>1203</v>
      </c>
      <c r="B1211" s="35" t="e">
        <f>B1209+1</f>
        <v>#REF!</v>
      </c>
      <c r="C1211" s="42" t="s">
        <v>335</v>
      </c>
      <c r="D1211" s="43">
        <v>38</v>
      </c>
      <c r="E1211" s="43"/>
      <c r="F1211" s="36">
        <v>0.18479999999999999</v>
      </c>
      <c r="G1211" s="36">
        <v>3.6405600000000003E-2</v>
      </c>
      <c r="H1211" s="36">
        <v>7.7299999999999994E-2</v>
      </c>
      <c r="I1211" s="37">
        <v>1.1594999999999999E-2</v>
      </c>
      <c r="J1211" s="32">
        <f t="shared" si="285"/>
        <v>0.17199249999999999</v>
      </c>
      <c r="K1211" s="33">
        <f t="shared" si="288"/>
        <v>2.5798874999999999E-2</v>
      </c>
      <c r="L1211" s="33"/>
      <c r="O1211" s="2">
        <f t="shared" si="290"/>
        <v>3.2208333333333332E-2</v>
      </c>
      <c r="P1211" s="2">
        <f t="shared" si="291"/>
        <v>23.189999999999998</v>
      </c>
      <c r="Q1211" s="7">
        <f t="shared" si="292"/>
        <v>105.02717391304347</v>
      </c>
      <c r="R1211" s="2">
        <v>1.2</v>
      </c>
      <c r="S1211" s="2">
        <f t="shared" si="286"/>
        <v>4.45</v>
      </c>
      <c r="T1211" s="2"/>
      <c r="U1211" s="2"/>
      <c r="Y1211" s="8">
        <f t="shared" si="287"/>
        <v>3.7389673913043477</v>
      </c>
    </row>
    <row r="1212" spans="1:25" x14ac:dyDescent="0.25">
      <c r="A1212" s="34">
        <f t="shared" si="297"/>
        <v>1204</v>
      </c>
      <c r="B1212" s="35" t="e">
        <f t="shared" si="297"/>
        <v>#REF!</v>
      </c>
      <c r="C1212" s="42" t="s">
        <v>335</v>
      </c>
      <c r="D1212" s="43">
        <v>40</v>
      </c>
      <c r="E1212" s="43"/>
      <c r="F1212" s="36">
        <v>0.18</v>
      </c>
      <c r="G1212" s="36">
        <v>3.5459999999999998E-2</v>
      </c>
      <c r="H1212" s="36">
        <v>8.3199999999999996E-2</v>
      </c>
      <c r="I1212" s="37">
        <v>1.248E-2</v>
      </c>
      <c r="J1212" s="32">
        <f t="shared" si="285"/>
        <v>0.18512000000000001</v>
      </c>
      <c r="K1212" s="33">
        <f t="shared" si="288"/>
        <v>2.7768000000000001E-2</v>
      </c>
      <c r="L1212" s="33"/>
      <c r="O1212" s="2">
        <f t="shared" si="290"/>
        <v>3.4666666666666665E-2</v>
      </c>
      <c r="P1212" s="2">
        <f t="shared" si="291"/>
        <v>24.959999999999997</v>
      </c>
      <c r="Q1212" s="7">
        <f t="shared" si="292"/>
        <v>113.04347826086955</v>
      </c>
      <c r="R1212" s="2">
        <v>1.2</v>
      </c>
      <c r="S1212" s="2">
        <f t="shared" si="286"/>
        <v>4.45</v>
      </c>
      <c r="T1212" s="2"/>
      <c r="U1212" s="2"/>
      <c r="Y1212" s="8">
        <f t="shared" si="287"/>
        <v>4.0243478260869567</v>
      </c>
    </row>
    <row r="1213" spans="1:25" x14ac:dyDescent="0.25">
      <c r="A1213" s="34">
        <f t="shared" si="297"/>
        <v>1205</v>
      </c>
      <c r="B1213" s="35" t="e">
        <f t="shared" si="297"/>
        <v>#REF!</v>
      </c>
      <c r="C1213" s="42" t="s">
        <v>335</v>
      </c>
      <c r="D1213" s="43">
        <v>43</v>
      </c>
      <c r="E1213" s="43"/>
      <c r="F1213" s="36">
        <v>0.2402</v>
      </c>
      <c r="G1213" s="36">
        <v>4.7319399999999998E-2</v>
      </c>
      <c r="H1213" s="36">
        <v>8.7599999999999997E-2</v>
      </c>
      <c r="I1213" s="37">
        <v>1.3140000000000001E-2</v>
      </c>
      <c r="J1213" s="32">
        <f t="shared" si="285"/>
        <v>0.19491</v>
      </c>
      <c r="K1213" s="33">
        <f t="shared" si="288"/>
        <v>2.9236499999999999E-2</v>
      </c>
      <c r="L1213" s="33"/>
      <c r="O1213" s="2">
        <f t="shared" si="290"/>
        <v>3.6499999999999998E-2</v>
      </c>
      <c r="P1213" s="2">
        <f t="shared" si="291"/>
        <v>26.279999999999998</v>
      </c>
      <c r="Q1213" s="7">
        <f t="shared" si="292"/>
        <v>119.02173913043477</v>
      </c>
      <c r="R1213" s="2">
        <v>1.2</v>
      </c>
      <c r="S1213" s="2">
        <f t="shared" si="286"/>
        <v>4.45</v>
      </c>
      <c r="T1213" s="2"/>
      <c r="U1213" s="2"/>
      <c r="Y1213" s="8">
        <f t="shared" si="287"/>
        <v>4.2371739130434776</v>
      </c>
    </row>
    <row r="1214" spans="1:25" x14ac:dyDescent="0.25">
      <c r="A1214" s="34">
        <f t="shared" si="297"/>
        <v>1206</v>
      </c>
      <c r="B1214" s="35" t="e">
        <f t="shared" si="297"/>
        <v>#REF!</v>
      </c>
      <c r="C1214" s="42" t="s">
        <v>335</v>
      </c>
      <c r="D1214" s="43">
        <v>45</v>
      </c>
      <c r="E1214" s="43"/>
      <c r="F1214" s="36">
        <v>0.2112</v>
      </c>
      <c r="G1214" s="36">
        <v>4.1606400000000002E-2</v>
      </c>
      <c r="H1214" s="36">
        <v>0.1391</v>
      </c>
      <c r="I1214" s="37">
        <v>2.0865000000000002E-2</v>
      </c>
      <c r="J1214" s="32">
        <f t="shared" si="285"/>
        <v>0.25733500000000004</v>
      </c>
      <c r="K1214" s="33">
        <f t="shared" si="288"/>
        <v>3.8600250000000003E-2</v>
      </c>
      <c r="L1214" s="24" t="s">
        <v>16</v>
      </c>
      <c r="O1214" s="2">
        <f t="shared" si="290"/>
        <v>5.7958333333333334E-2</v>
      </c>
      <c r="P1214" s="2">
        <f t="shared" si="291"/>
        <v>41.730000000000004</v>
      </c>
      <c r="Q1214" s="7">
        <f t="shared" si="292"/>
        <v>188.99456521739131</v>
      </c>
      <c r="R1214" s="2">
        <v>1.2</v>
      </c>
      <c r="S1214" s="2">
        <f t="shared" si="286"/>
        <v>3.7</v>
      </c>
      <c r="T1214" s="2"/>
      <c r="U1214" s="2"/>
      <c r="Y1214" s="8">
        <f t="shared" si="287"/>
        <v>5.5942391304347838</v>
      </c>
    </row>
    <row r="1215" spans="1:25" x14ac:dyDescent="0.25">
      <c r="A1215" s="34">
        <f t="shared" si="297"/>
        <v>1207</v>
      </c>
      <c r="B1215" s="35" t="e">
        <f t="shared" si="297"/>
        <v>#REF!</v>
      </c>
      <c r="C1215" s="42" t="s">
        <v>337</v>
      </c>
      <c r="D1215" s="43">
        <v>2</v>
      </c>
      <c r="E1215" s="43"/>
      <c r="F1215" s="36">
        <v>2.6499999999999999E-2</v>
      </c>
      <c r="G1215" s="36">
        <v>5.2205000000000003E-3</v>
      </c>
      <c r="H1215" s="36">
        <v>8.8000000000000005E-3</v>
      </c>
      <c r="I1215" s="37">
        <v>1.32E-3</v>
      </c>
      <c r="J1215" s="32">
        <f t="shared" si="285"/>
        <v>1.9580000000000004E-2</v>
      </c>
      <c r="K1215" s="33">
        <f t="shared" si="288"/>
        <v>2.9370000000000004E-3</v>
      </c>
      <c r="L1215" s="24" t="s">
        <v>16</v>
      </c>
      <c r="O1215" s="2">
        <f t="shared" si="290"/>
        <v>3.666666666666667E-3</v>
      </c>
      <c r="P1215" s="2">
        <f t="shared" si="291"/>
        <v>2.64</v>
      </c>
      <c r="Q1215" s="7">
        <f t="shared" si="292"/>
        <v>11.956521739130435</v>
      </c>
      <c r="R1215" s="2">
        <v>1.2</v>
      </c>
      <c r="S1215" s="2">
        <f t="shared" si="286"/>
        <v>4.45</v>
      </c>
      <c r="T1215" s="2"/>
      <c r="U1215" s="2"/>
      <c r="Y1215" s="8">
        <f t="shared" si="287"/>
        <v>0.42565217391304355</v>
      </c>
    </row>
    <row r="1216" spans="1:25" x14ac:dyDescent="0.25">
      <c r="A1216" s="34">
        <f t="shared" si="297"/>
        <v>1208</v>
      </c>
      <c r="B1216" s="35" t="e">
        <f t="shared" si="297"/>
        <v>#REF!</v>
      </c>
      <c r="C1216" s="42" t="s">
        <v>337</v>
      </c>
      <c r="D1216" s="43">
        <v>4</v>
      </c>
      <c r="E1216" s="43"/>
      <c r="F1216" s="36">
        <v>2.69E-2</v>
      </c>
      <c r="G1216" s="36">
        <v>5.2992999999999998E-3</v>
      </c>
      <c r="H1216" s="36">
        <v>1.4E-2</v>
      </c>
      <c r="I1216" s="37">
        <v>2.0999999999999999E-3</v>
      </c>
      <c r="J1216" s="32">
        <f t="shared" si="285"/>
        <v>3.1150000000000001E-2</v>
      </c>
      <c r="K1216" s="33">
        <f t="shared" si="288"/>
        <v>4.6724999999999996E-3</v>
      </c>
      <c r="L1216" s="24" t="s">
        <v>16</v>
      </c>
      <c r="O1216" s="2">
        <f t="shared" si="290"/>
        <v>5.8333333333333336E-3</v>
      </c>
      <c r="P1216" s="2">
        <f t="shared" si="291"/>
        <v>4.2</v>
      </c>
      <c r="Q1216" s="7">
        <f t="shared" si="292"/>
        <v>19.021739130434785</v>
      </c>
      <c r="R1216" s="2">
        <v>1.2</v>
      </c>
      <c r="S1216" s="2">
        <f t="shared" si="286"/>
        <v>4.45</v>
      </c>
      <c r="T1216" s="2"/>
      <c r="U1216" s="2"/>
      <c r="Y1216" s="8">
        <f t="shared" si="287"/>
        <v>0.67717391304347829</v>
      </c>
    </row>
    <row r="1217" spans="1:25" x14ac:dyDescent="0.25">
      <c r="A1217" s="34">
        <f t="shared" si="297"/>
        <v>1209</v>
      </c>
      <c r="B1217" s="35" t="e">
        <f t="shared" si="297"/>
        <v>#REF!</v>
      </c>
      <c r="C1217" s="42" t="s">
        <v>337</v>
      </c>
      <c r="D1217" s="43">
        <v>6</v>
      </c>
      <c r="E1217" s="43"/>
      <c r="F1217" s="36">
        <v>2.4899999999999999E-2</v>
      </c>
      <c r="G1217" s="36">
        <v>4.9052999999999996E-3</v>
      </c>
      <c r="H1217" s="36">
        <v>1.18E-2</v>
      </c>
      <c r="I1217" s="37">
        <v>1.7700000000000001E-3</v>
      </c>
      <c r="J1217" s="32">
        <f t="shared" si="285"/>
        <v>2.6255000000000001E-2</v>
      </c>
      <c r="K1217" s="33">
        <f t="shared" si="288"/>
        <v>3.9382499999999999E-3</v>
      </c>
      <c r="L1217" s="24" t="s">
        <v>16</v>
      </c>
      <c r="O1217" s="2">
        <f t="shared" si="290"/>
        <v>4.9166666666666664E-3</v>
      </c>
      <c r="P1217" s="2">
        <f t="shared" si="291"/>
        <v>3.54</v>
      </c>
      <c r="Q1217" s="7">
        <f t="shared" si="292"/>
        <v>16.032608695652176</v>
      </c>
      <c r="R1217" s="2">
        <v>1.2</v>
      </c>
      <c r="S1217" s="2">
        <f t="shared" si="286"/>
        <v>4.45</v>
      </c>
      <c r="T1217" s="2"/>
      <c r="U1217" s="2"/>
      <c r="Y1217" s="8">
        <f t="shared" si="287"/>
        <v>0.57076086956521732</v>
      </c>
    </row>
    <row r="1218" spans="1:25" x14ac:dyDescent="0.25">
      <c r="A1218" s="34">
        <f t="shared" si="297"/>
        <v>1210</v>
      </c>
      <c r="B1218" s="35" t="e">
        <f t="shared" si="297"/>
        <v>#REF!</v>
      </c>
      <c r="C1218" s="42" t="s">
        <v>337</v>
      </c>
      <c r="D1218" s="43">
        <v>8</v>
      </c>
      <c r="E1218" s="43"/>
      <c r="F1218" s="36">
        <v>0.16300000000000001</v>
      </c>
      <c r="G1218" s="36">
        <v>3.2111000000000001E-2</v>
      </c>
      <c r="H1218" s="36">
        <v>7.2099999999999997E-2</v>
      </c>
      <c r="I1218" s="37">
        <v>1.0815E-2</v>
      </c>
      <c r="J1218" s="32">
        <f t="shared" si="285"/>
        <v>0.1604225</v>
      </c>
      <c r="K1218" s="33">
        <f t="shared" si="288"/>
        <v>2.4063374999999998E-2</v>
      </c>
      <c r="L1218" s="33"/>
      <c r="O1218" s="2">
        <f t="shared" si="290"/>
        <v>3.0041666666666668E-2</v>
      </c>
      <c r="P1218" s="2">
        <f t="shared" si="291"/>
        <v>21.630000000000003</v>
      </c>
      <c r="Q1218" s="7">
        <f t="shared" si="292"/>
        <v>97.96195652173914</v>
      </c>
      <c r="R1218" s="2">
        <v>1.2</v>
      </c>
      <c r="S1218" s="2">
        <f t="shared" si="286"/>
        <v>4.45</v>
      </c>
      <c r="T1218" s="2"/>
      <c r="U1218" s="2"/>
      <c r="Y1218" s="8">
        <f t="shared" si="287"/>
        <v>3.4874456521739132</v>
      </c>
    </row>
    <row r="1219" spans="1:25" x14ac:dyDescent="0.25">
      <c r="A1219" s="34">
        <f t="shared" si="297"/>
        <v>1211</v>
      </c>
      <c r="B1219" s="35" t="e">
        <f t="shared" si="297"/>
        <v>#REF!</v>
      </c>
      <c r="C1219" s="42" t="s">
        <v>337</v>
      </c>
      <c r="D1219" s="43">
        <v>12</v>
      </c>
      <c r="E1219" s="43">
        <v>1</v>
      </c>
      <c r="F1219" s="36">
        <v>0.12765000000000001</v>
      </c>
      <c r="G1219" s="36">
        <v>2.5147050000000001E-2</v>
      </c>
      <c r="H1219" s="36">
        <v>7.3950000000000002E-2</v>
      </c>
      <c r="I1219" s="37">
        <v>1.10925E-2</v>
      </c>
      <c r="J1219" s="32">
        <f t="shared" si="285"/>
        <v>0.16453875000000001</v>
      </c>
      <c r="K1219" s="33">
        <f t="shared" si="288"/>
        <v>2.46808125E-2</v>
      </c>
      <c r="L1219" s="33"/>
      <c r="O1219" s="2">
        <f t="shared" si="290"/>
        <v>3.0812500000000003E-2</v>
      </c>
      <c r="P1219" s="2">
        <f t="shared" si="291"/>
        <v>22.185000000000002</v>
      </c>
      <c r="Q1219" s="7">
        <f t="shared" si="292"/>
        <v>100.47554347826087</v>
      </c>
      <c r="R1219" s="2">
        <v>1.2</v>
      </c>
      <c r="S1219" s="2">
        <f t="shared" si="286"/>
        <v>4.45</v>
      </c>
      <c r="T1219" s="2"/>
      <c r="U1219" s="2"/>
      <c r="Y1219" s="8">
        <f t="shared" si="287"/>
        <v>3.5769293478260873</v>
      </c>
    </row>
    <row r="1220" spans="1:25" x14ac:dyDescent="0.25">
      <c r="A1220" s="34">
        <f t="shared" si="297"/>
        <v>1212</v>
      </c>
      <c r="B1220" s="35" t="e">
        <f t="shared" si="297"/>
        <v>#REF!</v>
      </c>
      <c r="C1220" s="42" t="s">
        <v>337</v>
      </c>
      <c r="D1220" s="43">
        <v>12</v>
      </c>
      <c r="E1220" s="43">
        <v>2</v>
      </c>
      <c r="F1220" s="36">
        <v>0.12765000000000001</v>
      </c>
      <c r="G1220" s="36">
        <v>2.5147050000000001E-2</v>
      </c>
      <c r="H1220" s="36">
        <v>7.3950000000000002E-2</v>
      </c>
      <c r="I1220" s="37">
        <v>1.10925E-2</v>
      </c>
      <c r="J1220" s="32">
        <f t="shared" si="285"/>
        <v>0.16453875000000001</v>
      </c>
      <c r="K1220" s="33">
        <f t="shared" si="288"/>
        <v>2.46808125E-2</v>
      </c>
      <c r="L1220" s="33"/>
      <c r="O1220" s="2">
        <f t="shared" si="290"/>
        <v>3.0812500000000003E-2</v>
      </c>
      <c r="P1220" s="2">
        <f t="shared" si="291"/>
        <v>22.185000000000002</v>
      </c>
      <c r="Q1220" s="7">
        <f t="shared" si="292"/>
        <v>100.47554347826087</v>
      </c>
      <c r="R1220" s="2">
        <v>1.2</v>
      </c>
      <c r="S1220" s="2">
        <f t="shared" si="286"/>
        <v>4.45</v>
      </c>
      <c r="T1220" s="2"/>
      <c r="U1220" s="2"/>
      <c r="Y1220" s="8">
        <f t="shared" si="287"/>
        <v>3.5769293478260873</v>
      </c>
    </row>
    <row r="1221" spans="1:25" x14ac:dyDescent="0.25">
      <c r="A1221" s="34">
        <f t="shared" si="297"/>
        <v>1213</v>
      </c>
      <c r="B1221" s="35" t="e">
        <f t="shared" si="297"/>
        <v>#REF!</v>
      </c>
      <c r="C1221" s="42" t="s">
        <v>337</v>
      </c>
      <c r="D1221" s="43">
        <v>33</v>
      </c>
      <c r="E1221" s="43"/>
      <c r="F1221" s="36">
        <v>0.1552</v>
      </c>
      <c r="G1221" s="36">
        <v>3.0574400000000002E-2</v>
      </c>
      <c r="H1221" s="36">
        <v>0</v>
      </c>
      <c r="I1221" s="37">
        <f>H1221*0.15</f>
        <v>0</v>
      </c>
      <c r="J1221" s="32">
        <f t="shared" si="285"/>
        <v>0</v>
      </c>
      <c r="K1221" s="33">
        <f t="shared" si="288"/>
        <v>0</v>
      </c>
      <c r="L1221" s="33"/>
      <c r="N1221" s="2" t="s">
        <v>338</v>
      </c>
      <c r="O1221" s="2">
        <f t="shared" si="290"/>
        <v>0</v>
      </c>
      <c r="P1221" s="2">
        <f t="shared" si="291"/>
        <v>0</v>
      </c>
      <c r="Q1221" s="7">
        <f t="shared" si="292"/>
        <v>0</v>
      </c>
      <c r="R1221" s="2">
        <v>1.2</v>
      </c>
      <c r="S1221" s="2">
        <f t="shared" si="286"/>
        <v>4.45</v>
      </c>
      <c r="T1221" s="2"/>
      <c r="U1221" s="2"/>
      <c r="Y1221" s="8">
        <f t="shared" si="287"/>
        <v>0</v>
      </c>
    </row>
    <row r="1222" spans="1:25" x14ac:dyDescent="0.25">
      <c r="A1222" s="34">
        <f t="shared" si="297"/>
        <v>1214</v>
      </c>
      <c r="B1222" s="35" t="e">
        <f t="shared" si="297"/>
        <v>#REF!</v>
      </c>
      <c r="C1222" s="42" t="s">
        <v>339</v>
      </c>
      <c r="D1222" s="43">
        <v>1</v>
      </c>
      <c r="E1222" s="43"/>
      <c r="F1222" s="36">
        <v>0.1371</v>
      </c>
      <c r="G1222" s="36">
        <v>2.70087E-2</v>
      </c>
      <c r="H1222" s="36">
        <v>4.8500000000000001E-2</v>
      </c>
      <c r="I1222" s="37">
        <v>7.2750000000000002E-3</v>
      </c>
      <c r="J1222" s="32">
        <f t="shared" si="285"/>
        <v>0.10791250000000001</v>
      </c>
      <c r="K1222" s="33">
        <f t="shared" si="288"/>
        <v>1.6186875E-2</v>
      </c>
      <c r="L1222" s="33"/>
      <c r="O1222" s="2">
        <f t="shared" si="290"/>
        <v>2.0208333333333335E-2</v>
      </c>
      <c r="P1222" s="2">
        <f t="shared" si="291"/>
        <v>14.55</v>
      </c>
      <c r="Q1222" s="7">
        <f t="shared" si="292"/>
        <v>65.896739130434781</v>
      </c>
      <c r="R1222" s="2">
        <v>1.2</v>
      </c>
      <c r="S1222" s="2">
        <f t="shared" si="286"/>
        <v>4.45</v>
      </c>
      <c r="T1222" s="2"/>
      <c r="U1222" s="2"/>
      <c r="Y1222" s="8">
        <f t="shared" si="287"/>
        <v>2.3459239130434781</v>
      </c>
    </row>
    <row r="1223" spans="1:25" x14ac:dyDescent="0.25">
      <c r="A1223" s="34">
        <f t="shared" si="297"/>
        <v>1215</v>
      </c>
      <c r="B1223" s="35" t="e">
        <f t="shared" si="297"/>
        <v>#REF!</v>
      </c>
      <c r="C1223" s="42" t="s">
        <v>339</v>
      </c>
      <c r="D1223" s="43" t="s">
        <v>190</v>
      </c>
      <c r="E1223" s="43"/>
      <c r="F1223" s="36">
        <v>0.15609999999999999</v>
      </c>
      <c r="G1223" s="36">
        <v>3.07517E-2</v>
      </c>
      <c r="H1223" s="36">
        <v>7.9399999999999998E-2</v>
      </c>
      <c r="I1223" s="37">
        <v>1.191E-2</v>
      </c>
      <c r="J1223" s="32">
        <f t="shared" si="285"/>
        <v>0.17666500000000002</v>
      </c>
      <c r="K1223" s="33">
        <f t="shared" si="288"/>
        <v>2.6499750000000002E-2</v>
      </c>
      <c r="L1223" s="33"/>
      <c r="O1223" s="2">
        <f t="shared" si="290"/>
        <v>3.3083333333333333E-2</v>
      </c>
      <c r="P1223" s="2">
        <f t="shared" si="291"/>
        <v>23.82</v>
      </c>
      <c r="Q1223" s="7">
        <f t="shared" si="292"/>
        <v>107.8804347826087</v>
      </c>
      <c r="R1223" s="2">
        <v>1.2</v>
      </c>
      <c r="S1223" s="2">
        <f t="shared" si="286"/>
        <v>4.45</v>
      </c>
      <c r="T1223" s="2"/>
      <c r="U1223" s="2"/>
      <c r="Y1223" s="8">
        <f t="shared" si="287"/>
        <v>3.8405434782608698</v>
      </c>
    </row>
    <row r="1224" spans="1:25" x14ac:dyDescent="0.25">
      <c r="A1224" s="34">
        <f t="shared" si="297"/>
        <v>1216</v>
      </c>
      <c r="B1224" s="35" t="e">
        <f t="shared" si="297"/>
        <v>#REF!</v>
      </c>
      <c r="C1224" s="42" t="s">
        <v>339</v>
      </c>
      <c r="D1224" s="43">
        <v>2</v>
      </c>
      <c r="E1224" s="43"/>
      <c r="F1224" s="36">
        <v>9.1499999999999998E-2</v>
      </c>
      <c r="G1224" s="36">
        <v>1.80255E-2</v>
      </c>
      <c r="H1224" s="36">
        <v>2.35E-2</v>
      </c>
      <c r="I1224" s="37">
        <v>3.5249999999999999E-3</v>
      </c>
      <c r="J1224" s="32">
        <f t="shared" si="285"/>
        <v>5.2287500000000001E-2</v>
      </c>
      <c r="K1224" s="33">
        <f t="shared" si="288"/>
        <v>7.8431249999999994E-3</v>
      </c>
      <c r="L1224" s="33"/>
      <c r="O1224" s="2">
        <f t="shared" si="290"/>
        <v>9.7916666666666673E-3</v>
      </c>
      <c r="P1224" s="2">
        <f t="shared" si="291"/>
        <v>7.0500000000000007</v>
      </c>
      <c r="Q1224" s="7">
        <f t="shared" si="292"/>
        <v>31.929347826086961</v>
      </c>
      <c r="R1224" s="2">
        <v>1.2</v>
      </c>
      <c r="S1224" s="2">
        <f t="shared" si="286"/>
        <v>4.45</v>
      </c>
      <c r="T1224" s="2"/>
      <c r="U1224" s="2"/>
      <c r="Y1224" s="8">
        <f t="shared" si="287"/>
        <v>1.1366847826086957</v>
      </c>
    </row>
    <row r="1225" spans="1:25" x14ac:dyDescent="0.25">
      <c r="A1225" s="34">
        <f t="shared" si="297"/>
        <v>1217</v>
      </c>
      <c r="B1225" s="35" t="e">
        <f t="shared" si="297"/>
        <v>#REF!</v>
      </c>
      <c r="C1225" s="42" t="s">
        <v>339</v>
      </c>
      <c r="D1225" s="43">
        <v>4</v>
      </c>
      <c r="E1225" s="43"/>
      <c r="F1225" s="36">
        <v>0.16619999999999999</v>
      </c>
      <c r="G1225" s="36">
        <v>3.2741399999999997E-2</v>
      </c>
      <c r="H1225" s="36">
        <v>4.8500000000000001E-2</v>
      </c>
      <c r="I1225" s="37">
        <v>7.2750000000000002E-3</v>
      </c>
      <c r="J1225" s="32">
        <f t="shared" ref="J1225:J1288" si="298">O1225*R1225*S1225</f>
        <v>0.10791250000000001</v>
      </c>
      <c r="K1225" s="33">
        <f t="shared" si="288"/>
        <v>1.6186875E-2</v>
      </c>
      <c r="L1225" s="33"/>
      <c r="O1225" s="2">
        <f t="shared" si="290"/>
        <v>2.0208333333333335E-2</v>
      </c>
      <c r="P1225" s="2">
        <f t="shared" si="291"/>
        <v>14.55</v>
      </c>
      <c r="Q1225" s="7">
        <f t="shared" si="292"/>
        <v>65.896739130434781</v>
      </c>
      <c r="R1225" s="2">
        <v>1.2</v>
      </c>
      <c r="S1225" s="2">
        <f t="shared" ref="S1225:S1288" si="299">IF(Q1225&lt;=$AE$6,$AF$6,IF(Q1225&lt;=$AE$7,$AF$7,IF(Q1225&lt;=$AE$8,$AF$8,IF(Q1225&lt;=$AE$9,$AF$9,IF(Q1225&lt;=$AE$10,$AF$10,0)))))</f>
        <v>4.45</v>
      </c>
      <c r="T1225" s="2"/>
      <c r="U1225" s="2"/>
      <c r="Y1225" s="8">
        <f t="shared" ref="Y1225:Y1288" si="300">J1225/46*1000</f>
        <v>2.3459239130434781</v>
      </c>
    </row>
    <row r="1226" spans="1:25" x14ac:dyDescent="0.25">
      <c r="A1226" s="34">
        <f t="shared" si="297"/>
        <v>1218</v>
      </c>
      <c r="B1226" s="35"/>
      <c r="C1226" s="42" t="s">
        <v>339</v>
      </c>
      <c r="D1226" s="43">
        <v>104</v>
      </c>
      <c r="E1226" s="43"/>
      <c r="F1226" s="36">
        <v>7.5859999999999997E-2</v>
      </c>
      <c r="G1226" s="36">
        <v>1.494442E-2</v>
      </c>
      <c r="H1226" s="36">
        <v>3.9785000000000001E-2</v>
      </c>
      <c r="I1226" s="37">
        <v>5.96775E-3</v>
      </c>
      <c r="J1226" s="32">
        <f t="shared" si="298"/>
        <v>8.852162500000002E-2</v>
      </c>
      <c r="K1226" s="33">
        <f t="shared" ref="K1226:K1289" si="301">J1226*0.15</f>
        <v>1.3278243750000003E-2</v>
      </c>
      <c r="L1226" s="33"/>
      <c r="O1226" s="2">
        <f t="shared" si="290"/>
        <v>1.6577083333333336E-2</v>
      </c>
      <c r="P1226" s="2">
        <f t="shared" si="291"/>
        <v>11.935500000000001</v>
      </c>
      <c r="Q1226" s="7">
        <f t="shared" si="292"/>
        <v>54.05570652173914</v>
      </c>
      <c r="R1226" s="2">
        <v>1.2</v>
      </c>
      <c r="S1226" s="2">
        <f t="shared" si="299"/>
        <v>4.45</v>
      </c>
      <c r="T1226" s="2"/>
      <c r="U1226" s="2"/>
      <c r="Y1226" s="8">
        <f t="shared" si="300"/>
        <v>1.9243831521739134</v>
      </c>
    </row>
    <row r="1227" spans="1:25" x14ac:dyDescent="0.25">
      <c r="A1227" s="34">
        <f t="shared" ref="A1227:B1242" si="302">A1226+1</f>
        <v>1219</v>
      </c>
      <c r="B1227" s="35"/>
      <c r="C1227" s="42" t="s">
        <v>339</v>
      </c>
      <c r="D1227" s="43">
        <v>106</v>
      </c>
      <c r="E1227" s="43"/>
      <c r="F1227" s="36">
        <v>0.76870000000000005</v>
      </c>
      <c r="G1227" s="36">
        <v>0.15143390000000001</v>
      </c>
      <c r="H1227" s="36">
        <v>0.34591</v>
      </c>
      <c r="I1227" s="37">
        <v>5.1886500000000002E-2</v>
      </c>
      <c r="J1227" s="32">
        <f t="shared" si="298"/>
        <v>0.56210375000000001</v>
      </c>
      <c r="K1227" s="33">
        <f t="shared" si="301"/>
        <v>8.4315562499999996E-2</v>
      </c>
      <c r="L1227" s="33"/>
      <c r="O1227" s="2">
        <f t="shared" ref="O1227:O1290" si="303">H1227/2.4</f>
        <v>0.14412916666666667</v>
      </c>
      <c r="P1227" s="2">
        <f t="shared" ref="P1227:P1290" si="304">O1227*24*30</f>
        <v>103.77300000000001</v>
      </c>
      <c r="Q1227" s="7">
        <f t="shared" ref="Q1227:Q1290" si="305">P1227/0.2208</f>
        <v>469.98641304347831</v>
      </c>
      <c r="R1227" s="2">
        <v>1.2</v>
      </c>
      <c r="S1227" s="2">
        <f t="shared" si="299"/>
        <v>3.25</v>
      </c>
      <c r="T1227" s="2"/>
      <c r="U1227" s="2"/>
      <c r="Y1227" s="8">
        <f t="shared" si="300"/>
        <v>12.219646739130434</v>
      </c>
    </row>
    <row r="1228" spans="1:25" x14ac:dyDescent="0.25">
      <c r="A1228" s="34">
        <f t="shared" si="302"/>
        <v>1220</v>
      </c>
      <c r="B1228" s="35" t="e">
        <f>B1225+1</f>
        <v>#REF!</v>
      </c>
      <c r="C1228" s="42" t="s">
        <v>340</v>
      </c>
      <c r="D1228" s="43">
        <v>15</v>
      </c>
      <c r="E1228" s="43"/>
      <c r="F1228" s="36">
        <v>0.13170000000000001</v>
      </c>
      <c r="G1228" s="36">
        <v>2.59449E-2</v>
      </c>
      <c r="H1228" s="36">
        <v>3.6799999999999999E-2</v>
      </c>
      <c r="I1228" s="37">
        <v>5.5199999999999997E-3</v>
      </c>
      <c r="J1228" s="32">
        <f t="shared" si="298"/>
        <v>8.1880000000000008E-2</v>
      </c>
      <c r="K1228" s="33">
        <f t="shared" si="301"/>
        <v>1.2282000000000001E-2</v>
      </c>
      <c r="L1228" s="33"/>
      <c r="O1228" s="2">
        <f t="shared" si="303"/>
        <v>1.5333333333333334E-2</v>
      </c>
      <c r="P1228" s="2">
        <f t="shared" si="304"/>
        <v>11.04</v>
      </c>
      <c r="Q1228" s="7">
        <f t="shared" si="305"/>
        <v>50</v>
      </c>
      <c r="R1228" s="2">
        <v>1.2</v>
      </c>
      <c r="S1228" s="2">
        <f t="shared" si="299"/>
        <v>4.45</v>
      </c>
      <c r="T1228" s="2"/>
      <c r="U1228" s="2"/>
      <c r="Y1228" s="8">
        <f t="shared" si="300"/>
        <v>1.78</v>
      </c>
    </row>
    <row r="1229" spans="1:25" x14ac:dyDescent="0.25">
      <c r="A1229" s="34">
        <f t="shared" si="302"/>
        <v>1221</v>
      </c>
      <c r="B1229" s="35" t="e">
        <f t="shared" si="302"/>
        <v>#REF!</v>
      </c>
      <c r="C1229" s="42" t="s">
        <v>340</v>
      </c>
      <c r="D1229" s="43" t="s">
        <v>341</v>
      </c>
      <c r="E1229" s="43"/>
      <c r="F1229" s="36">
        <v>3.2000000000000001E-2</v>
      </c>
      <c r="G1229" s="36">
        <v>6.3039999999999997E-3</v>
      </c>
      <c r="H1229" s="36">
        <v>1.1599999999999999E-2</v>
      </c>
      <c r="I1229" s="37">
        <v>1.74E-3</v>
      </c>
      <c r="J1229" s="32">
        <f t="shared" si="298"/>
        <v>2.5810000000000003E-2</v>
      </c>
      <c r="K1229" s="33">
        <f t="shared" si="301"/>
        <v>3.8715000000000004E-3</v>
      </c>
      <c r="L1229" s="24" t="s">
        <v>16</v>
      </c>
      <c r="O1229" s="2">
        <f t="shared" si="303"/>
        <v>4.8333333333333336E-3</v>
      </c>
      <c r="P1229" s="2">
        <f t="shared" si="304"/>
        <v>3.48</v>
      </c>
      <c r="Q1229" s="7">
        <f t="shared" si="305"/>
        <v>15.760869565217391</v>
      </c>
      <c r="R1229" s="2">
        <v>1.2</v>
      </c>
      <c r="S1229" s="2">
        <f t="shared" si="299"/>
        <v>4.45</v>
      </c>
      <c r="T1229" s="2"/>
      <c r="U1229" s="2"/>
      <c r="Y1229" s="8">
        <f t="shared" si="300"/>
        <v>0.56108695652173923</v>
      </c>
    </row>
    <row r="1230" spans="1:25" x14ac:dyDescent="0.25">
      <c r="A1230" s="34">
        <f t="shared" si="302"/>
        <v>1222</v>
      </c>
      <c r="B1230" s="35" t="e">
        <f t="shared" si="302"/>
        <v>#REF!</v>
      </c>
      <c r="C1230" s="42" t="s">
        <v>340</v>
      </c>
      <c r="D1230" s="43">
        <v>53</v>
      </c>
      <c r="E1230" s="43"/>
      <c r="F1230" s="36">
        <v>0.2757</v>
      </c>
      <c r="G1230" s="36">
        <v>5.4312899999999997E-2</v>
      </c>
      <c r="H1230" s="36">
        <v>8.1000000000000003E-2</v>
      </c>
      <c r="I1230" s="37">
        <v>1.2149999999999999E-2</v>
      </c>
      <c r="J1230" s="32">
        <f t="shared" si="298"/>
        <v>0.18022500000000002</v>
      </c>
      <c r="K1230" s="33">
        <f t="shared" si="301"/>
        <v>2.7033750000000002E-2</v>
      </c>
      <c r="L1230" s="33"/>
      <c r="O1230" s="2">
        <f t="shared" si="303"/>
        <v>3.3750000000000002E-2</v>
      </c>
      <c r="P1230" s="2">
        <f t="shared" si="304"/>
        <v>24.3</v>
      </c>
      <c r="Q1230" s="7">
        <f t="shared" si="305"/>
        <v>110.05434782608697</v>
      </c>
      <c r="R1230" s="2">
        <v>1.2</v>
      </c>
      <c r="S1230" s="2">
        <f t="shared" si="299"/>
        <v>4.45</v>
      </c>
      <c r="T1230" s="2"/>
      <c r="U1230" s="2"/>
      <c r="Y1230" s="8">
        <f t="shared" si="300"/>
        <v>3.9179347826086963</v>
      </c>
    </row>
    <row r="1231" spans="1:25" x14ac:dyDescent="0.25">
      <c r="A1231" s="34">
        <f t="shared" si="302"/>
        <v>1223</v>
      </c>
      <c r="B1231" s="35" t="e">
        <f t="shared" si="302"/>
        <v>#REF!</v>
      </c>
      <c r="C1231" s="42" t="s">
        <v>340</v>
      </c>
      <c r="D1231" s="43">
        <v>64</v>
      </c>
      <c r="E1231" s="43"/>
      <c r="F1231" s="36">
        <v>3.5400000000000001E-2</v>
      </c>
      <c r="G1231" s="36">
        <v>6.9737999999999996E-3</v>
      </c>
      <c r="H1231" s="36">
        <v>0.1144</v>
      </c>
      <c r="I1231" s="37">
        <v>1.7166000000000001E-2</v>
      </c>
      <c r="J1231" s="32">
        <f t="shared" si="298"/>
        <v>0.21164000000000002</v>
      </c>
      <c r="K1231" s="33">
        <f t="shared" si="301"/>
        <v>3.1746000000000003E-2</v>
      </c>
      <c r="L1231" s="33"/>
      <c r="O1231" s="2">
        <f t="shared" si="303"/>
        <v>4.766666666666667E-2</v>
      </c>
      <c r="P1231" s="2">
        <f t="shared" si="304"/>
        <v>34.320000000000007</v>
      </c>
      <c r="Q1231" s="7">
        <f t="shared" si="305"/>
        <v>155.43478260869568</v>
      </c>
      <c r="R1231" s="2">
        <v>1.2</v>
      </c>
      <c r="S1231" s="2">
        <f t="shared" si="299"/>
        <v>3.7</v>
      </c>
      <c r="T1231" s="2"/>
      <c r="U1231" s="2"/>
      <c r="Y1231" s="8">
        <f t="shared" si="300"/>
        <v>4.6008695652173914</v>
      </c>
    </row>
    <row r="1232" spans="1:25" x14ac:dyDescent="0.25">
      <c r="A1232" s="34">
        <f t="shared" si="302"/>
        <v>1224</v>
      </c>
      <c r="B1232" s="35" t="e">
        <f t="shared" si="302"/>
        <v>#REF!</v>
      </c>
      <c r="C1232" s="42" t="s">
        <v>340</v>
      </c>
      <c r="D1232" s="43">
        <v>69</v>
      </c>
      <c r="E1232" s="43"/>
      <c r="F1232" s="36">
        <v>0.1038</v>
      </c>
      <c r="G1232" s="36">
        <v>2.0448600000000001E-2</v>
      </c>
      <c r="H1232" s="36">
        <v>5.0999999999999997E-2</v>
      </c>
      <c r="I1232" s="37">
        <v>7.6439999999999998E-3</v>
      </c>
      <c r="J1232" s="32">
        <f t="shared" si="298"/>
        <v>0.11347499999999999</v>
      </c>
      <c r="K1232" s="33">
        <f t="shared" si="301"/>
        <v>1.7021249999999998E-2</v>
      </c>
      <c r="L1232" s="33"/>
      <c r="O1232" s="2">
        <f t="shared" si="303"/>
        <v>2.1249999999999998E-2</v>
      </c>
      <c r="P1232" s="2">
        <f t="shared" si="304"/>
        <v>15.3</v>
      </c>
      <c r="Q1232" s="7">
        <f t="shared" si="305"/>
        <v>69.293478260869563</v>
      </c>
      <c r="R1232" s="2">
        <v>1.2</v>
      </c>
      <c r="S1232" s="2">
        <f t="shared" si="299"/>
        <v>4.45</v>
      </c>
      <c r="T1232" s="2"/>
      <c r="U1232" s="2"/>
      <c r="Y1232" s="8">
        <f t="shared" si="300"/>
        <v>2.4668478260869566</v>
      </c>
    </row>
    <row r="1233" spans="1:25" x14ac:dyDescent="0.25">
      <c r="A1233" s="34">
        <f t="shared" si="302"/>
        <v>1225</v>
      </c>
      <c r="B1233" s="35" t="e">
        <f t="shared" si="302"/>
        <v>#REF!</v>
      </c>
      <c r="C1233" s="42" t="s">
        <v>340</v>
      </c>
      <c r="D1233" s="43">
        <v>86</v>
      </c>
      <c r="E1233" s="43"/>
      <c r="F1233" s="36">
        <v>0.15229999999999999</v>
      </c>
      <c r="G1233" s="36">
        <v>3.0003100000000001E-2</v>
      </c>
      <c r="H1233" s="36">
        <v>6.8599999999999994E-2</v>
      </c>
      <c r="I1233" s="37">
        <v>1.0290000000000001E-2</v>
      </c>
      <c r="J1233" s="32">
        <f t="shared" si="298"/>
        <v>0.15263499999999999</v>
      </c>
      <c r="K1233" s="33">
        <f t="shared" si="301"/>
        <v>2.2895249999999999E-2</v>
      </c>
      <c r="L1233" s="33"/>
      <c r="O1233" s="2">
        <f t="shared" si="303"/>
        <v>2.8583333333333332E-2</v>
      </c>
      <c r="P1233" s="2">
        <f t="shared" si="304"/>
        <v>20.58</v>
      </c>
      <c r="Q1233" s="7">
        <f t="shared" si="305"/>
        <v>93.206521739130423</v>
      </c>
      <c r="R1233" s="2">
        <v>1.2</v>
      </c>
      <c r="S1233" s="2">
        <f t="shared" si="299"/>
        <v>4.45</v>
      </c>
      <c r="T1233" s="2"/>
      <c r="U1233" s="2"/>
      <c r="Y1233" s="8">
        <f t="shared" si="300"/>
        <v>3.3181521739130431</v>
      </c>
    </row>
    <row r="1234" spans="1:25" x14ac:dyDescent="0.25">
      <c r="A1234" s="34">
        <f t="shared" si="302"/>
        <v>1226</v>
      </c>
      <c r="B1234" s="35" t="e">
        <f t="shared" si="302"/>
        <v>#REF!</v>
      </c>
      <c r="C1234" s="40" t="s">
        <v>342</v>
      </c>
      <c r="D1234" s="35">
        <v>208</v>
      </c>
      <c r="E1234" s="35">
        <v>1</v>
      </c>
      <c r="F1234" s="36">
        <v>0.15890000000000001</v>
      </c>
      <c r="G1234" s="36">
        <f>F1234*0.197</f>
        <v>3.1303300000000006E-2</v>
      </c>
      <c r="H1234" s="36">
        <v>7.7600000000000002E-2</v>
      </c>
      <c r="I1234" s="37">
        <f>H1234*0.15</f>
        <v>1.1639999999999999E-2</v>
      </c>
      <c r="J1234" s="32">
        <f t="shared" si="298"/>
        <v>0.17266000000000004</v>
      </c>
      <c r="K1234" s="33">
        <f t="shared" si="301"/>
        <v>2.5899000000000005E-2</v>
      </c>
      <c r="L1234" s="33"/>
      <c r="O1234" s="2">
        <f t="shared" si="303"/>
        <v>3.2333333333333339E-2</v>
      </c>
      <c r="P1234" s="2">
        <f t="shared" si="304"/>
        <v>23.280000000000005</v>
      </c>
      <c r="Q1234" s="7">
        <f t="shared" si="305"/>
        <v>105.43478260869567</v>
      </c>
      <c r="R1234" s="2">
        <v>1.2</v>
      </c>
      <c r="S1234" s="2">
        <f t="shared" si="299"/>
        <v>4.45</v>
      </c>
      <c r="T1234" s="2"/>
      <c r="U1234" s="2"/>
      <c r="Y1234" s="8">
        <f t="shared" si="300"/>
        <v>3.7534782608695663</v>
      </c>
    </row>
    <row r="1235" spans="1:25" x14ac:dyDescent="0.25">
      <c r="A1235" s="34">
        <f t="shared" si="302"/>
        <v>1227</v>
      </c>
      <c r="B1235" s="35" t="e">
        <f t="shared" si="302"/>
        <v>#REF!</v>
      </c>
      <c r="C1235" s="40" t="s">
        <v>342</v>
      </c>
      <c r="D1235" s="35">
        <v>208</v>
      </c>
      <c r="E1235" s="35">
        <v>2</v>
      </c>
      <c r="F1235" s="36">
        <v>0.15890000000000001</v>
      </c>
      <c r="G1235" s="36">
        <f>F1235*0.197</f>
        <v>3.1303300000000006E-2</v>
      </c>
      <c r="H1235" s="36">
        <v>7.7600000000000002E-2</v>
      </c>
      <c r="I1235" s="37">
        <f>H1235*0.15</f>
        <v>1.1639999999999999E-2</v>
      </c>
      <c r="J1235" s="32">
        <f t="shared" si="298"/>
        <v>0.17266000000000004</v>
      </c>
      <c r="K1235" s="33">
        <f t="shared" si="301"/>
        <v>2.5899000000000005E-2</v>
      </c>
      <c r="L1235" s="33"/>
      <c r="O1235" s="2">
        <f t="shared" si="303"/>
        <v>3.2333333333333339E-2</v>
      </c>
      <c r="P1235" s="2">
        <f t="shared" si="304"/>
        <v>23.280000000000005</v>
      </c>
      <c r="Q1235" s="7">
        <f t="shared" si="305"/>
        <v>105.43478260869567</v>
      </c>
      <c r="R1235" s="2">
        <v>1.2</v>
      </c>
      <c r="S1235" s="2">
        <f t="shared" si="299"/>
        <v>4.45</v>
      </c>
      <c r="T1235" s="2"/>
      <c r="U1235" s="2"/>
      <c r="Y1235" s="8">
        <f t="shared" si="300"/>
        <v>3.7534782608695663</v>
      </c>
    </row>
    <row r="1236" spans="1:25" x14ac:dyDescent="0.25">
      <c r="A1236" s="34">
        <f t="shared" si="302"/>
        <v>1228</v>
      </c>
      <c r="B1236" s="35" t="e">
        <f t="shared" si="302"/>
        <v>#REF!</v>
      </c>
      <c r="C1236" s="40" t="s">
        <v>343</v>
      </c>
      <c r="D1236" s="35">
        <v>13</v>
      </c>
      <c r="E1236" s="35"/>
      <c r="F1236" s="36">
        <v>0.21779999999999999</v>
      </c>
      <c r="G1236" s="36">
        <f>F1236*0.197</f>
        <v>4.2906600000000003E-2</v>
      </c>
      <c r="H1236" s="36">
        <v>6.7400000000000002E-2</v>
      </c>
      <c r="I1236" s="37">
        <f>H1236*0.15</f>
        <v>1.0109999999999999E-2</v>
      </c>
      <c r="J1236" s="32">
        <f t="shared" si="298"/>
        <v>0.14996500000000001</v>
      </c>
      <c r="K1236" s="33">
        <f t="shared" si="301"/>
        <v>2.2494750000000001E-2</v>
      </c>
      <c r="L1236" s="33"/>
      <c r="O1236" s="2">
        <f t="shared" si="303"/>
        <v>2.8083333333333335E-2</v>
      </c>
      <c r="P1236" s="2">
        <f t="shared" si="304"/>
        <v>20.220000000000002</v>
      </c>
      <c r="Q1236" s="7">
        <f t="shared" si="305"/>
        <v>91.576086956521749</v>
      </c>
      <c r="R1236" s="2">
        <v>1.2</v>
      </c>
      <c r="S1236" s="2">
        <f t="shared" si="299"/>
        <v>4.45</v>
      </c>
      <c r="T1236" s="2"/>
      <c r="U1236" s="2"/>
      <c r="Y1236" s="8">
        <f t="shared" si="300"/>
        <v>3.2601086956521743</v>
      </c>
    </row>
    <row r="1237" spans="1:25" x14ac:dyDescent="0.25">
      <c r="A1237" s="34">
        <f t="shared" si="302"/>
        <v>1229</v>
      </c>
      <c r="B1237" s="35" t="e">
        <f t="shared" si="302"/>
        <v>#REF!</v>
      </c>
      <c r="C1237" s="40" t="s">
        <v>344</v>
      </c>
      <c r="D1237" s="35" t="s">
        <v>177</v>
      </c>
      <c r="E1237" s="35"/>
      <c r="F1237" s="36">
        <v>2.5899999999999999E-2</v>
      </c>
      <c r="G1237" s="36">
        <f>F1237*0.197</f>
        <v>5.1022999999999997E-3</v>
      </c>
      <c r="H1237" s="36">
        <v>7.3600000000000002E-3</v>
      </c>
      <c r="I1237" s="37">
        <f>H1237*0.15</f>
        <v>1.1039999999999999E-3</v>
      </c>
      <c r="J1237" s="32">
        <f t="shared" si="298"/>
        <v>1.6376000000000002E-2</v>
      </c>
      <c r="K1237" s="33">
        <f t="shared" si="301"/>
        <v>2.4564000000000001E-3</v>
      </c>
      <c r="L1237" s="33"/>
      <c r="O1237" s="2">
        <f t="shared" si="303"/>
        <v>3.0666666666666668E-3</v>
      </c>
      <c r="P1237" s="2">
        <f t="shared" si="304"/>
        <v>2.2080000000000002</v>
      </c>
      <c r="Q1237" s="7">
        <f t="shared" si="305"/>
        <v>10.000000000000002</v>
      </c>
      <c r="R1237" s="2">
        <v>1.2</v>
      </c>
      <c r="S1237" s="2">
        <f t="shared" si="299"/>
        <v>4.45</v>
      </c>
      <c r="T1237" s="2"/>
      <c r="U1237" s="2"/>
      <c r="Y1237" s="8">
        <f t="shared" si="300"/>
        <v>0.35600000000000004</v>
      </c>
    </row>
    <row r="1238" spans="1:25" x14ac:dyDescent="0.25">
      <c r="A1238" s="34">
        <f t="shared" si="302"/>
        <v>1230</v>
      </c>
      <c r="B1238" s="35" t="e">
        <f t="shared" si="302"/>
        <v>#REF!</v>
      </c>
      <c r="C1238" s="42" t="s">
        <v>345</v>
      </c>
      <c r="D1238" s="43">
        <v>143</v>
      </c>
      <c r="E1238" s="43"/>
      <c r="F1238" s="36">
        <v>0.1749</v>
      </c>
      <c r="G1238" s="36">
        <v>3.4455300000000001E-2</v>
      </c>
      <c r="H1238" s="36">
        <v>0.1082</v>
      </c>
      <c r="I1238" s="37">
        <v>1.6230000000000001E-2</v>
      </c>
      <c r="J1238" s="32">
        <f t="shared" si="298"/>
        <v>0.24074500000000001</v>
      </c>
      <c r="K1238" s="33">
        <f t="shared" si="301"/>
        <v>3.6111749999999998E-2</v>
      </c>
      <c r="L1238" s="33"/>
      <c r="O1238" s="2">
        <f t="shared" si="303"/>
        <v>4.5083333333333336E-2</v>
      </c>
      <c r="P1238" s="2">
        <f t="shared" si="304"/>
        <v>32.46</v>
      </c>
      <c r="Q1238" s="7">
        <f t="shared" si="305"/>
        <v>147.0108695652174</v>
      </c>
      <c r="R1238" s="2">
        <v>1.2</v>
      </c>
      <c r="S1238" s="2">
        <f t="shared" si="299"/>
        <v>4.45</v>
      </c>
      <c r="T1238" s="2"/>
      <c r="U1238" s="2"/>
      <c r="Y1238" s="8">
        <f t="shared" si="300"/>
        <v>5.2335869565217399</v>
      </c>
    </row>
    <row r="1239" spans="1:25" x14ac:dyDescent="0.25">
      <c r="A1239" s="34">
        <f t="shared" si="302"/>
        <v>1231</v>
      </c>
      <c r="B1239" s="35" t="e">
        <f t="shared" si="302"/>
        <v>#REF!</v>
      </c>
      <c r="C1239" s="42" t="s">
        <v>345</v>
      </c>
      <c r="D1239" s="43">
        <v>145</v>
      </c>
      <c r="E1239" s="43">
        <v>1</v>
      </c>
      <c r="F1239" s="36">
        <v>0.18360000000000001</v>
      </c>
      <c r="G1239" s="36">
        <v>3.6169199999999999E-2</v>
      </c>
      <c r="H1239" s="36">
        <v>6.6250000000000003E-2</v>
      </c>
      <c r="I1239" s="37">
        <v>9.9375000000000002E-3</v>
      </c>
      <c r="J1239" s="32">
        <f t="shared" si="298"/>
        <v>0.14740625000000002</v>
      </c>
      <c r="K1239" s="33">
        <f t="shared" si="301"/>
        <v>2.21109375E-2</v>
      </c>
      <c r="L1239" s="33"/>
      <c r="O1239" s="2">
        <f t="shared" si="303"/>
        <v>2.7604166666666669E-2</v>
      </c>
      <c r="P1239" s="2">
        <f t="shared" si="304"/>
        <v>19.875000000000004</v>
      </c>
      <c r="Q1239" s="7">
        <f t="shared" si="305"/>
        <v>90.013586956521763</v>
      </c>
      <c r="R1239" s="2">
        <v>1.2</v>
      </c>
      <c r="S1239" s="2">
        <f t="shared" si="299"/>
        <v>4.45</v>
      </c>
      <c r="T1239" s="2"/>
      <c r="U1239" s="2"/>
      <c r="Y1239" s="8">
        <f t="shared" si="300"/>
        <v>3.2044836956521743</v>
      </c>
    </row>
    <row r="1240" spans="1:25" x14ac:dyDescent="0.25">
      <c r="A1240" s="34">
        <f t="shared" si="302"/>
        <v>1232</v>
      </c>
      <c r="B1240" s="35" t="e">
        <f t="shared" si="302"/>
        <v>#REF!</v>
      </c>
      <c r="C1240" s="42" t="s">
        <v>345</v>
      </c>
      <c r="D1240" s="43">
        <v>145</v>
      </c>
      <c r="E1240" s="43">
        <v>2</v>
      </c>
      <c r="F1240" s="36">
        <v>0.18360000000000001</v>
      </c>
      <c r="G1240" s="36">
        <v>3.6169199999999999E-2</v>
      </c>
      <c r="H1240" s="36">
        <v>6.6250000000000003E-2</v>
      </c>
      <c r="I1240" s="37">
        <v>9.9375000000000002E-3</v>
      </c>
      <c r="J1240" s="32">
        <f t="shared" si="298"/>
        <v>0.14740625000000002</v>
      </c>
      <c r="K1240" s="33">
        <f t="shared" si="301"/>
        <v>2.21109375E-2</v>
      </c>
      <c r="L1240" s="33"/>
      <c r="O1240" s="2">
        <f t="shared" si="303"/>
        <v>2.7604166666666669E-2</v>
      </c>
      <c r="P1240" s="2">
        <f t="shared" si="304"/>
        <v>19.875000000000004</v>
      </c>
      <c r="Q1240" s="7">
        <f t="shared" si="305"/>
        <v>90.013586956521763</v>
      </c>
      <c r="R1240" s="2">
        <v>1.2</v>
      </c>
      <c r="S1240" s="2">
        <f t="shared" si="299"/>
        <v>4.45</v>
      </c>
      <c r="T1240" s="2"/>
      <c r="U1240" s="2"/>
      <c r="Y1240" s="8">
        <f t="shared" si="300"/>
        <v>3.2044836956521743</v>
      </c>
    </row>
    <row r="1241" spans="1:25" x14ac:dyDescent="0.25">
      <c r="A1241" s="34">
        <f t="shared" si="302"/>
        <v>1233</v>
      </c>
      <c r="B1241" s="35" t="e">
        <f t="shared" si="302"/>
        <v>#REF!</v>
      </c>
      <c r="C1241" s="42" t="s">
        <v>345</v>
      </c>
      <c r="D1241" s="43">
        <v>147</v>
      </c>
      <c r="E1241" s="43"/>
      <c r="F1241" s="36">
        <v>0.25190000000000001</v>
      </c>
      <c r="G1241" s="36">
        <v>4.9624300000000003E-2</v>
      </c>
      <c r="H1241" s="36">
        <v>8.1699999999999995E-2</v>
      </c>
      <c r="I1241" s="37">
        <v>1.2255E-2</v>
      </c>
      <c r="J1241" s="32">
        <f t="shared" si="298"/>
        <v>0.18178249999999999</v>
      </c>
      <c r="K1241" s="33">
        <f t="shared" si="301"/>
        <v>2.7267374999999996E-2</v>
      </c>
      <c r="L1241" s="33"/>
      <c r="O1241" s="2">
        <f t="shared" si="303"/>
        <v>3.4041666666666665E-2</v>
      </c>
      <c r="P1241" s="2">
        <f t="shared" si="304"/>
        <v>24.509999999999998</v>
      </c>
      <c r="Q1241" s="7">
        <f t="shared" si="305"/>
        <v>111.00543478260869</v>
      </c>
      <c r="R1241" s="2">
        <v>1.2</v>
      </c>
      <c r="S1241" s="2">
        <f t="shared" si="299"/>
        <v>4.45</v>
      </c>
      <c r="T1241" s="2"/>
      <c r="U1241" s="2"/>
      <c r="Y1241" s="8">
        <f t="shared" si="300"/>
        <v>3.9517934782608695</v>
      </c>
    </row>
    <row r="1242" spans="1:25" x14ac:dyDescent="0.25">
      <c r="A1242" s="34">
        <f t="shared" si="302"/>
        <v>1234</v>
      </c>
      <c r="B1242" s="35" t="e">
        <f t="shared" si="302"/>
        <v>#REF!</v>
      </c>
      <c r="C1242" s="42" t="s">
        <v>345</v>
      </c>
      <c r="D1242" s="43">
        <v>182</v>
      </c>
      <c r="E1242" s="43"/>
      <c r="F1242" s="36">
        <v>0.113</v>
      </c>
      <c r="G1242" s="36">
        <v>2.2261E-2</v>
      </c>
      <c r="H1242" s="36">
        <v>4.6399999999999997E-2</v>
      </c>
      <c r="I1242" s="37">
        <v>6.96E-3</v>
      </c>
      <c r="J1242" s="32">
        <f t="shared" si="298"/>
        <v>0.10324000000000001</v>
      </c>
      <c r="K1242" s="33">
        <f t="shared" si="301"/>
        <v>1.5486000000000002E-2</v>
      </c>
      <c r="L1242" s="33"/>
      <c r="O1242" s="2">
        <f t="shared" si="303"/>
        <v>1.9333333333333334E-2</v>
      </c>
      <c r="P1242" s="2">
        <f t="shared" si="304"/>
        <v>13.92</v>
      </c>
      <c r="Q1242" s="7">
        <f t="shared" si="305"/>
        <v>63.043478260869563</v>
      </c>
      <c r="R1242" s="2">
        <v>1.2</v>
      </c>
      <c r="S1242" s="2">
        <f t="shared" si="299"/>
        <v>4.45</v>
      </c>
      <c r="T1242" s="2"/>
      <c r="U1242" s="2"/>
      <c r="Y1242" s="8">
        <f t="shared" si="300"/>
        <v>2.2443478260869569</v>
      </c>
    </row>
    <row r="1243" spans="1:25" x14ac:dyDescent="0.25">
      <c r="A1243" s="34">
        <f t="shared" ref="A1243:B1258" si="306">A1242+1</f>
        <v>1235</v>
      </c>
      <c r="B1243" s="35" t="e">
        <f t="shared" si="306"/>
        <v>#REF!</v>
      </c>
      <c r="C1243" s="42" t="s">
        <v>346</v>
      </c>
      <c r="D1243" s="43">
        <v>5</v>
      </c>
      <c r="E1243" s="43"/>
      <c r="F1243" s="36">
        <v>5.2299999999999999E-2</v>
      </c>
      <c r="G1243" s="36">
        <v>1.0303100000000001E-2</v>
      </c>
      <c r="H1243" s="36">
        <v>1.9900000000000001E-2</v>
      </c>
      <c r="I1243" s="37">
        <v>2.9849999999999998E-3</v>
      </c>
      <c r="J1243" s="32">
        <f t="shared" si="298"/>
        <v>4.4277500000000004E-2</v>
      </c>
      <c r="K1243" s="33">
        <f t="shared" si="301"/>
        <v>6.6416250000000008E-3</v>
      </c>
      <c r="L1243" s="24" t="s">
        <v>16</v>
      </c>
      <c r="O1243" s="2">
        <f t="shared" si="303"/>
        <v>8.2916666666666677E-3</v>
      </c>
      <c r="P1243" s="2">
        <f t="shared" si="304"/>
        <v>5.9700000000000006</v>
      </c>
      <c r="Q1243" s="7">
        <f t="shared" si="305"/>
        <v>27.038043478260875</v>
      </c>
      <c r="R1243" s="2">
        <v>1.2</v>
      </c>
      <c r="S1243" s="2">
        <f t="shared" si="299"/>
        <v>4.45</v>
      </c>
      <c r="T1243" s="2"/>
      <c r="U1243" s="2"/>
      <c r="Y1243" s="8">
        <f t="shared" si="300"/>
        <v>0.96255434782608706</v>
      </c>
    </row>
    <row r="1244" spans="1:25" x14ac:dyDescent="0.25">
      <c r="A1244" s="34">
        <f t="shared" si="306"/>
        <v>1236</v>
      </c>
      <c r="B1244" s="35" t="e">
        <f t="shared" si="306"/>
        <v>#REF!</v>
      </c>
      <c r="C1244" s="42" t="s">
        <v>346</v>
      </c>
      <c r="D1244" s="43">
        <v>7</v>
      </c>
      <c r="E1244" s="43"/>
      <c r="F1244" s="36">
        <v>5.5100000000000003E-2</v>
      </c>
      <c r="G1244" s="36">
        <v>1.08547E-2</v>
      </c>
      <c r="H1244" s="36">
        <v>1.54E-2</v>
      </c>
      <c r="I1244" s="37">
        <v>2.31E-3</v>
      </c>
      <c r="J1244" s="32">
        <f t="shared" si="298"/>
        <v>3.4265000000000004E-2</v>
      </c>
      <c r="K1244" s="33">
        <f t="shared" si="301"/>
        <v>5.1397500000000002E-3</v>
      </c>
      <c r="L1244" s="24" t="s">
        <v>16</v>
      </c>
      <c r="O1244" s="2">
        <f t="shared" si="303"/>
        <v>6.4166666666666669E-3</v>
      </c>
      <c r="P1244" s="2">
        <f t="shared" si="304"/>
        <v>4.62</v>
      </c>
      <c r="Q1244" s="7">
        <f t="shared" si="305"/>
        <v>20.923913043478262</v>
      </c>
      <c r="R1244" s="2">
        <v>1.2</v>
      </c>
      <c r="S1244" s="2">
        <f t="shared" si="299"/>
        <v>4.45</v>
      </c>
      <c r="T1244" s="2"/>
      <c r="U1244" s="2"/>
      <c r="Y1244" s="8">
        <f t="shared" si="300"/>
        <v>0.74489130434782613</v>
      </c>
    </row>
    <row r="1245" spans="1:25" x14ac:dyDescent="0.25">
      <c r="A1245" s="34">
        <f t="shared" si="306"/>
        <v>1237</v>
      </c>
      <c r="B1245" s="35" t="e">
        <f t="shared" si="306"/>
        <v>#REF!</v>
      </c>
      <c r="C1245" s="42" t="s">
        <v>346</v>
      </c>
      <c r="D1245" s="43">
        <v>9</v>
      </c>
      <c r="E1245" s="43"/>
      <c r="F1245" s="36">
        <v>5.0299999999999997E-2</v>
      </c>
      <c r="G1245" s="36">
        <v>9.9091000000000005E-3</v>
      </c>
      <c r="H1245" s="36">
        <v>1.6199999999999999E-2</v>
      </c>
      <c r="I1245" s="37">
        <v>2.4299999999999999E-3</v>
      </c>
      <c r="J1245" s="32">
        <f t="shared" si="298"/>
        <v>3.6045000000000001E-2</v>
      </c>
      <c r="K1245" s="33">
        <f t="shared" si="301"/>
        <v>5.4067500000000001E-3</v>
      </c>
      <c r="L1245" s="24" t="s">
        <v>16</v>
      </c>
      <c r="O1245" s="2">
        <f t="shared" si="303"/>
        <v>6.7499999999999999E-3</v>
      </c>
      <c r="P1245" s="2">
        <f t="shared" si="304"/>
        <v>4.8600000000000003</v>
      </c>
      <c r="Q1245" s="7">
        <f t="shared" si="305"/>
        <v>22.010869565217394</v>
      </c>
      <c r="R1245" s="2">
        <v>1.2</v>
      </c>
      <c r="S1245" s="2">
        <f t="shared" si="299"/>
        <v>4.45</v>
      </c>
      <c r="T1245" s="2"/>
      <c r="U1245" s="2"/>
      <c r="Y1245" s="8">
        <f t="shared" si="300"/>
        <v>0.78358695652173915</v>
      </c>
    </row>
    <row r="1246" spans="1:25" x14ac:dyDescent="0.25">
      <c r="A1246" s="34">
        <f t="shared" si="306"/>
        <v>1238</v>
      </c>
      <c r="B1246" s="35" t="e">
        <f t="shared" si="306"/>
        <v>#REF!</v>
      </c>
      <c r="C1246" s="42" t="s">
        <v>347</v>
      </c>
      <c r="D1246" s="43">
        <v>2</v>
      </c>
      <c r="E1246" s="43"/>
      <c r="F1246" s="36">
        <v>0.216</v>
      </c>
      <c r="G1246" s="36">
        <v>4.2552E-2</v>
      </c>
      <c r="H1246" s="36">
        <v>6.7699999999999996E-2</v>
      </c>
      <c r="I1246" s="37">
        <v>1.0155000000000001E-2</v>
      </c>
      <c r="J1246" s="32">
        <f t="shared" si="298"/>
        <v>0.1506325</v>
      </c>
      <c r="K1246" s="33">
        <f t="shared" si="301"/>
        <v>2.2594875E-2</v>
      </c>
      <c r="L1246" s="33"/>
      <c r="O1246" s="2">
        <f t="shared" si="303"/>
        <v>2.8208333333333332E-2</v>
      </c>
      <c r="P1246" s="2">
        <f t="shared" si="304"/>
        <v>20.309999999999999</v>
      </c>
      <c r="Q1246" s="7">
        <f t="shared" si="305"/>
        <v>91.983695652173907</v>
      </c>
      <c r="R1246" s="2">
        <v>1.2</v>
      </c>
      <c r="S1246" s="2">
        <f t="shared" si="299"/>
        <v>4.45</v>
      </c>
      <c r="T1246" s="2"/>
      <c r="U1246" s="2"/>
      <c r="Y1246" s="8">
        <f t="shared" si="300"/>
        <v>3.2746195652173915</v>
      </c>
    </row>
    <row r="1247" spans="1:25" x14ac:dyDescent="0.25">
      <c r="A1247" s="34">
        <f t="shared" si="306"/>
        <v>1239</v>
      </c>
      <c r="B1247" s="35"/>
      <c r="C1247" s="42" t="s">
        <v>347</v>
      </c>
      <c r="D1247" s="43">
        <v>4</v>
      </c>
      <c r="E1247" s="43"/>
      <c r="F1247" s="36">
        <v>0.12454999999999999</v>
      </c>
      <c r="G1247" s="36">
        <v>2.4536349999999998E-2</v>
      </c>
      <c r="H1247" s="36">
        <v>4.7100000000000003E-2</v>
      </c>
      <c r="I1247" s="37">
        <v>1.0929599999999999E-2</v>
      </c>
      <c r="J1247" s="32">
        <f t="shared" si="298"/>
        <v>0.10479750000000003</v>
      </c>
      <c r="K1247" s="33">
        <f t="shared" si="301"/>
        <v>1.5719625000000004E-2</v>
      </c>
      <c r="L1247" s="33"/>
      <c r="O1247" s="2">
        <f t="shared" si="303"/>
        <v>1.9625000000000004E-2</v>
      </c>
      <c r="P1247" s="2">
        <f t="shared" si="304"/>
        <v>14.130000000000003</v>
      </c>
      <c r="Q1247" s="7">
        <f t="shared" si="305"/>
        <v>63.994565217391319</v>
      </c>
      <c r="R1247" s="2">
        <v>1.2</v>
      </c>
      <c r="S1247" s="2">
        <f t="shared" si="299"/>
        <v>4.45</v>
      </c>
      <c r="T1247" s="2"/>
      <c r="U1247" s="2"/>
      <c r="Y1247" s="8">
        <f t="shared" si="300"/>
        <v>2.278206521739131</v>
      </c>
    </row>
    <row r="1248" spans="1:25" x14ac:dyDescent="0.25">
      <c r="A1248" s="34">
        <f t="shared" si="306"/>
        <v>1240</v>
      </c>
      <c r="B1248" s="35" t="e">
        <f>B1246+1</f>
        <v>#REF!</v>
      </c>
      <c r="C1248" s="42" t="s">
        <v>347</v>
      </c>
      <c r="D1248" s="43">
        <v>6</v>
      </c>
      <c r="E1248" s="43"/>
      <c r="F1248" s="36">
        <v>0.125</v>
      </c>
      <c r="G1248" s="36">
        <v>2.4625000000000001E-2</v>
      </c>
      <c r="H1248" s="36">
        <v>5.2999999999999999E-2</v>
      </c>
      <c r="I1248" s="37">
        <v>1.1265000000000001E-2</v>
      </c>
      <c r="J1248" s="32">
        <f t="shared" si="298"/>
        <v>0.117925</v>
      </c>
      <c r="K1248" s="33">
        <f t="shared" si="301"/>
        <v>1.768875E-2</v>
      </c>
      <c r="L1248" s="33"/>
      <c r="O1248" s="2">
        <f t="shared" si="303"/>
        <v>2.2083333333333333E-2</v>
      </c>
      <c r="P1248" s="2">
        <f t="shared" si="304"/>
        <v>15.9</v>
      </c>
      <c r="Q1248" s="7">
        <f t="shared" si="305"/>
        <v>72.010869565217391</v>
      </c>
      <c r="R1248" s="2">
        <v>1.2</v>
      </c>
      <c r="S1248" s="2">
        <f t="shared" si="299"/>
        <v>4.45</v>
      </c>
      <c r="T1248" s="2"/>
      <c r="U1248" s="2"/>
      <c r="Y1248" s="8">
        <f t="shared" si="300"/>
        <v>2.5635869565217391</v>
      </c>
    </row>
    <row r="1249" spans="1:25" x14ac:dyDescent="0.25">
      <c r="A1249" s="34">
        <f t="shared" si="306"/>
        <v>1241</v>
      </c>
      <c r="B1249" s="35" t="e">
        <f>B1248+1</f>
        <v>#REF!</v>
      </c>
      <c r="C1249" s="42" t="s">
        <v>347</v>
      </c>
      <c r="D1249" s="43">
        <v>8</v>
      </c>
      <c r="E1249" s="43"/>
      <c r="F1249" s="36">
        <v>9.5899999999999999E-2</v>
      </c>
      <c r="G1249" s="36">
        <v>1.8892300000000001E-2</v>
      </c>
      <c r="H1249" s="36">
        <v>3.7580000000000002E-2</v>
      </c>
      <c r="I1249" s="37">
        <v>2.2499999999999999E-4</v>
      </c>
      <c r="J1249" s="32">
        <f t="shared" si="298"/>
        <v>8.3615500000000023E-2</v>
      </c>
      <c r="K1249" s="33">
        <f t="shared" si="301"/>
        <v>1.2542325000000003E-2</v>
      </c>
      <c r="L1249" s="33"/>
      <c r="O1249" s="2">
        <f t="shared" si="303"/>
        <v>1.5658333333333337E-2</v>
      </c>
      <c r="P1249" s="2">
        <f t="shared" si="304"/>
        <v>11.274000000000003</v>
      </c>
      <c r="Q1249" s="7">
        <f t="shared" si="305"/>
        <v>51.059782608695663</v>
      </c>
      <c r="R1249" s="2">
        <v>1.2</v>
      </c>
      <c r="S1249" s="2">
        <f t="shared" si="299"/>
        <v>4.45</v>
      </c>
      <c r="T1249" s="2"/>
      <c r="U1249" s="2"/>
      <c r="Y1249" s="8">
        <f t="shared" si="300"/>
        <v>1.8177282608695657</v>
      </c>
    </row>
    <row r="1250" spans="1:25" x14ac:dyDescent="0.25">
      <c r="A1250" s="34">
        <f t="shared" si="306"/>
        <v>1242</v>
      </c>
      <c r="B1250" s="35" t="e">
        <f t="shared" si="306"/>
        <v>#REF!</v>
      </c>
      <c r="C1250" s="42" t="s">
        <v>347</v>
      </c>
      <c r="D1250" s="43">
        <v>12</v>
      </c>
      <c r="E1250" s="43">
        <v>1</v>
      </c>
      <c r="F1250" s="36">
        <v>0.1552</v>
      </c>
      <c r="G1250" s="36">
        <v>3.0574400000000002E-2</v>
      </c>
      <c r="H1250" s="36">
        <v>5.0799999999999998E-2</v>
      </c>
      <c r="I1250" s="37">
        <v>7.62E-3</v>
      </c>
      <c r="J1250" s="32">
        <f t="shared" si="298"/>
        <v>0.11303000000000001</v>
      </c>
      <c r="K1250" s="33">
        <f t="shared" si="301"/>
        <v>1.6954500000000001E-2</v>
      </c>
      <c r="L1250" s="33"/>
      <c r="O1250" s="2">
        <f t="shared" si="303"/>
        <v>2.1166666666666667E-2</v>
      </c>
      <c r="P1250" s="2">
        <f t="shared" si="304"/>
        <v>15.24</v>
      </c>
      <c r="Q1250" s="7">
        <f t="shared" si="305"/>
        <v>69.021739130434781</v>
      </c>
      <c r="R1250" s="2">
        <v>1.2</v>
      </c>
      <c r="S1250" s="2">
        <f t="shared" si="299"/>
        <v>4.45</v>
      </c>
      <c r="T1250" s="2"/>
      <c r="U1250" s="2"/>
      <c r="Y1250" s="8">
        <f t="shared" si="300"/>
        <v>2.4571739130434787</v>
      </c>
    </row>
    <row r="1251" spans="1:25" x14ac:dyDescent="0.25">
      <c r="A1251" s="34">
        <f t="shared" si="306"/>
        <v>1243</v>
      </c>
      <c r="B1251" s="35" t="e">
        <f t="shared" si="306"/>
        <v>#REF!</v>
      </c>
      <c r="C1251" s="42" t="s">
        <v>347</v>
      </c>
      <c r="D1251" s="43">
        <v>12</v>
      </c>
      <c r="E1251" s="43">
        <v>2</v>
      </c>
      <c r="F1251" s="36">
        <v>0.1552</v>
      </c>
      <c r="G1251" s="36">
        <v>3.0574400000000002E-2</v>
      </c>
      <c r="H1251" s="36">
        <v>5.0799999999999998E-2</v>
      </c>
      <c r="I1251" s="37">
        <v>7.62E-3</v>
      </c>
      <c r="J1251" s="32">
        <f t="shared" si="298"/>
        <v>0.11303000000000001</v>
      </c>
      <c r="K1251" s="33">
        <f t="shared" si="301"/>
        <v>1.6954500000000001E-2</v>
      </c>
      <c r="L1251" s="33"/>
      <c r="O1251" s="2">
        <f t="shared" si="303"/>
        <v>2.1166666666666667E-2</v>
      </c>
      <c r="P1251" s="2">
        <f t="shared" si="304"/>
        <v>15.24</v>
      </c>
      <c r="Q1251" s="7">
        <f t="shared" si="305"/>
        <v>69.021739130434781</v>
      </c>
      <c r="R1251" s="2">
        <v>1.2</v>
      </c>
      <c r="S1251" s="2">
        <f t="shared" si="299"/>
        <v>4.45</v>
      </c>
      <c r="T1251" s="2"/>
      <c r="U1251" s="2"/>
      <c r="Y1251" s="8">
        <f t="shared" si="300"/>
        <v>2.4571739130434787</v>
      </c>
    </row>
    <row r="1252" spans="1:25" x14ac:dyDescent="0.25">
      <c r="A1252" s="34">
        <f t="shared" si="306"/>
        <v>1244</v>
      </c>
      <c r="B1252" s="35" t="e">
        <f t="shared" si="306"/>
        <v>#REF!</v>
      </c>
      <c r="C1252" s="42" t="s">
        <v>347</v>
      </c>
      <c r="D1252" s="43">
        <v>14</v>
      </c>
      <c r="E1252" s="43">
        <v>1</v>
      </c>
      <c r="F1252" s="36">
        <v>0.20150000000000001</v>
      </c>
      <c r="G1252" s="36">
        <v>3.9695500000000002E-2</v>
      </c>
      <c r="H1252" s="36">
        <v>7.3599999999999999E-2</v>
      </c>
      <c r="I1252" s="37">
        <v>1.1039999999999999E-2</v>
      </c>
      <c r="J1252" s="32">
        <f t="shared" si="298"/>
        <v>0.16376000000000002</v>
      </c>
      <c r="K1252" s="33">
        <f t="shared" si="301"/>
        <v>2.4564000000000002E-2</v>
      </c>
      <c r="L1252" s="33"/>
      <c r="O1252" s="2">
        <f t="shared" si="303"/>
        <v>3.0666666666666668E-2</v>
      </c>
      <c r="P1252" s="2">
        <f t="shared" si="304"/>
        <v>22.08</v>
      </c>
      <c r="Q1252" s="7">
        <f t="shared" si="305"/>
        <v>100</v>
      </c>
      <c r="R1252" s="2">
        <v>1.2</v>
      </c>
      <c r="S1252" s="2">
        <f t="shared" si="299"/>
        <v>4.45</v>
      </c>
      <c r="T1252" s="2"/>
      <c r="U1252" s="2"/>
      <c r="Y1252" s="8">
        <f t="shared" si="300"/>
        <v>3.56</v>
      </c>
    </row>
    <row r="1253" spans="1:25" x14ac:dyDescent="0.25">
      <c r="A1253" s="34">
        <f t="shared" si="306"/>
        <v>1245</v>
      </c>
      <c r="B1253" s="35" t="e">
        <f t="shared" si="306"/>
        <v>#REF!</v>
      </c>
      <c r="C1253" s="42" t="s">
        <v>347</v>
      </c>
      <c r="D1253" s="43">
        <v>14</v>
      </c>
      <c r="E1253" s="43">
        <v>2</v>
      </c>
      <c r="F1253" s="36">
        <v>0.20150000000000001</v>
      </c>
      <c r="G1253" s="36">
        <v>3.9695500000000002E-2</v>
      </c>
      <c r="H1253" s="36">
        <v>7.3599999999999999E-2</v>
      </c>
      <c r="I1253" s="37">
        <v>1.1039999999999999E-2</v>
      </c>
      <c r="J1253" s="32">
        <f t="shared" si="298"/>
        <v>0.16376000000000002</v>
      </c>
      <c r="K1253" s="33">
        <f t="shared" si="301"/>
        <v>2.4564000000000002E-2</v>
      </c>
      <c r="L1253" s="33"/>
      <c r="O1253" s="2">
        <f t="shared" si="303"/>
        <v>3.0666666666666668E-2</v>
      </c>
      <c r="P1253" s="2">
        <f t="shared" si="304"/>
        <v>22.08</v>
      </c>
      <c r="Q1253" s="7">
        <f t="shared" si="305"/>
        <v>100</v>
      </c>
      <c r="R1253" s="2">
        <v>1.2</v>
      </c>
      <c r="S1253" s="2">
        <f t="shared" si="299"/>
        <v>4.45</v>
      </c>
      <c r="T1253" s="2"/>
      <c r="U1253" s="2"/>
      <c r="Y1253" s="8">
        <f t="shared" si="300"/>
        <v>3.56</v>
      </c>
    </row>
    <row r="1254" spans="1:25" x14ac:dyDescent="0.25">
      <c r="A1254" s="34">
        <f t="shared" si="306"/>
        <v>1246</v>
      </c>
      <c r="B1254" s="35" t="e">
        <f t="shared" si="306"/>
        <v>#REF!</v>
      </c>
      <c r="C1254" s="42" t="s">
        <v>347</v>
      </c>
      <c r="D1254" s="43">
        <v>16</v>
      </c>
      <c r="E1254" s="43">
        <v>1</v>
      </c>
      <c r="F1254" s="36">
        <v>0.19042999999999999</v>
      </c>
      <c r="G1254" s="36">
        <v>3.751471E-2</v>
      </c>
      <c r="H1254" s="36">
        <v>6.6960000000000006E-2</v>
      </c>
      <c r="I1254" s="37">
        <v>1.0044000000000001E-2</v>
      </c>
      <c r="J1254" s="32">
        <f t="shared" si="298"/>
        <v>0.14898600000000001</v>
      </c>
      <c r="K1254" s="33">
        <f t="shared" si="301"/>
        <v>2.23479E-2</v>
      </c>
      <c r="L1254" s="33"/>
      <c r="O1254" s="2">
        <f t="shared" si="303"/>
        <v>2.7900000000000005E-2</v>
      </c>
      <c r="P1254" s="2">
        <f t="shared" si="304"/>
        <v>20.088000000000001</v>
      </c>
      <c r="Q1254" s="7">
        <f t="shared" si="305"/>
        <v>90.978260869565219</v>
      </c>
      <c r="R1254" s="2">
        <v>1.2</v>
      </c>
      <c r="S1254" s="2">
        <f t="shared" si="299"/>
        <v>4.45</v>
      </c>
      <c r="T1254" s="2"/>
      <c r="U1254" s="2"/>
      <c r="Y1254" s="8">
        <f t="shared" si="300"/>
        <v>3.238826086956522</v>
      </c>
    </row>
    <row r="1255" spans="1:25" x14ac:dyDescent="0.25">
      <c r="A1255" s="34">
        <f t="shared" si="306"/>
        <v>1247</v>
      </c>
      <c r="B1255" s="35" t="e">
        <f t="shared" si="306"/>
        <v>#REF!</v>
      </c>
      <c r="C1255" s="42" t="s">
        <v>347</v>
      </c>
      <c r="D1255" s="43">
        <v>16</v>
      </c>
      <c r="E1255" s="43">
        <v>2</v>
      </c>
      <c r="F1255" s="36">
        <v>0.19042999999999999</v>
      </c>
      <c r="G1255" s="36">
        <v>3.751471E-2</v>
      </c>
      <c r="H1255" s="36">
        <v>6.6960000000000006E-2</v>
      </c>
      <c r="I1255" s="37">
        <v>1.0044000000000001E-2</v>
      </c>
      <c r="J1255" s="32">
        <f t="shared" si="298"/>
        <v>0.14898600000000001</v>
      </c>
      <c r="K1255" s="33">
        <f t="shared" si="301"/>
        <v>2.23479E-2</v>
      </c>
      <c r="L1255" s="33"/>
      <c r="O1255" s="2">
        <f t="shared" si="303"/>
        <v>2.7900000000000005E-2</v>
      </c>
      <c r="P1255" s="2">
        <f t="shared" si="304"/>
        <v>20.088000000000001</v>
      </c>
      <c r="Q1255" s="7">
        <f t="shared" si="305"/>
        <v>90.978260869565219</v>
      </c>
      <c r="R1255" s="2">
        <v>1.2</v>
      </c>
      <c r="S1255" s="2">
        <f t="shared" si="299"/>
        <v>4.45</v>
      </c>
      <c r="T1255" s="2"/>
      <c r="U1255" s="2"/>
      <c r="Y1255" s="8">
        <f t="shared" si="300"/>
        <v>3.238826086956522</v>
      </c>
    </row>
    <row r="1256" spans="1:25" x14ac:dyDescent="0.25">
      <c r="A1256" s="34">
        <f t="shared" si="306"/>
        <v>1248</v>
      </c>
      <c r="B1256" s="35" t="e">
        <f t="shared" si="306"/>
        <v>#REF!</v>
      </c>
      <c r="C1256" s="42" t="s">
        <v>347</v>
      </c>
      <c r="D1256" s="43">
        <v>16</v>
      </c>
      <c r="E1256" s="43">
        <v>3</v>
      </c>
      <c r="F1256" s="36">
        <v>0.19042999999999999</v>
      </c>
      <c r="G1256" s="36">
        <v>3.751471E-2</v>
      </c>
      <c r="H1256" s="36">
        <v>6.6960000000000006E-2</v>
      </c>
      <c r="I1256" s="37">
        <v>1.0044000000000001E-2</v>
      </c>
      <c r="J1256" s="32">
        <f t="shared" si="298"/>
        <v>0.14898600000000001</v>
      </c>
      <c r="K1256" s="33">
        <f t="shared" si="301"/>
        <v>2.23479E-2</v>
      </c>
      <c r="L1256" s="33"/>
      <c r="O1256" s="2">
        <f t="shared" si="303"/>
        <v>2.7900000000000005E-2</v>
      </c>
      <c r="P1256" s="2">
        <f t="shared" si="304"/>
        <v>20.088000000000001</v>
      </c>
      <c r="Q1256" s="7">
        <f t="shared" si="305"/>
        <v>90.978260869565219</v>
      </c>
      <c r="R1256" s="2">
        <v>1.2</v>
      </c>
      <c r="S1256" s="2">
        <f t="shared" si="299"/>
        <v>4.45</v>
      </c>
      <c r="T1256" s="2"/>
      <c r="U1256" s="2"/>
      <c r="Y1256" s="8">
        <f t="shared" si="300"/>
        <v>3.238826086956522</v>
      </c>
    </row>
    <row r="1257" spans="1:25" x14ac:dyDescent="0.25">
      <c r="A1257" s="34">
        <f t="shared" si="306"/>
        <v>1249</v>
      </c>
      <c r="B1257" s="35" t="e">
        <f t="shared" si="306"/>
        <v>#REF!</v>
      </c>
      <c r="C1257" s="42" t="s">
        <v>347</v>
      </c>
      <c r="D1257" s="43">
        <v>18</v>
      </c>
      <c r="E1257" s="43"/>
      <c r="F1257" s="36">
        <v>0.20960000000000001</v>
      </c>
      <c r="G1257" s="36">
        <v>4.12912E-2</v>
      </c>
      <c r="H1257" s="36">
        <v>5.5199999999999999E-2</v>
      </c>
      <c r="I1257" s="37">
        <v>8.2799999999999992E-3</v>
      </c>
      <c r="J1257" s="32">
        <f t="shared" si="298"/>
        <v>0.12282</v>
      </c>
      <c r="K1257" s="33">
        <f t="shared" si="301"/>
        <v>1.8422999999999998E-2</v>
      </c>
      <c r="L1257" s="33"/>
      <c r="O1257" s="2">
        <f t="shared" si="303"/>
        <v>2.3E-2</v>
      </c>
      <c r="P1257" s="2">
        <f t="shared" si="304"/>
        <v>16.560000000000002</v>
      </c>
      <c r="Q1257" s="7">
        <f t="shared" si="305"/>
        <v>75.000000000000014</v>
      </c>
      <c r="R1257" s="2">
        <v>1.2</v>
      </c>
      <c r="S1257" s="2">
        <f t="shared" si="299"/>
        <v>4.45</v>
      </c>
      <c r="T1257" s="2"/>
      <c r="U1257" s="2"/>
      <c r="Y1257" s="8">
        <f t="shared" si="300"/>
        <v>2.67</v>
      </c>
    </row>
    <row r="1258" spans="1:25" x14ac:dyDescent="0.25">
      <c r="A1258" s="34">
        <f t="shared" si="306"/>
        <v>1250</v>
      </c>
      <c r="B1258" s="35" t="e">
        <f t="shared" si="306"/>
        <v>#REF!</v>
      </c>
      <c r="C1258" s="42" t="s">
        <v>347</v>
      </c>
      <c r="D1258" s="43">
        <v>80</v>
      </c>
      <c r="E1258" s="43">
        <v>1</v>
      </c>
      <c r="F1258" s="36">
        <v>0.10614999999999999</v>
      </c>
      <c r="G1258" s="36">
        <v>2.0911550000000001E-2</v>
      </c>
      <c r="H1258" s="36">
        <v>4.4850000000000001E-2</v>
      </c>
      <c r="I1258" s="37">
        <v>6.7275E-3</v>
      </c>
      <c r="J1258" s="32">
        <f t="shared" si="298"/>
        <v>9.9791250000000026E-2</v>
      </c>
      <c r="K1258" s="33">
        <f t="shared" si="301"/>
        <v>1.4968687500000003E-2</v>
      </c>
      <c r="L1258" s="33"/>
      <c r="O1258" s="2">
        <f t="shared" si="303"/>
        <v>1.8687500000000003E-2</v>
      </c>
      <c r="P1258" s="2">
        <f t="shared" si="304"/>
        <v>13.455000000000002</v>
      </c>
      <c r="Q1258" s="7">
        <f t="shared" si="305"/>
        <v>60.937500000000007</v>
      </c>
      <c r="R1258" s="2">
        <v>1.2</v>
      </c>
      <c r="S1258" s="2">
        <f t="shared" si="299"/>
        <v>4.45</v>
      </c>
      <c r="T1258" s="2"/>
      <c r="U1258" s="2"/>
      <c r="Y1258" s="8">
        <f t="shared" si="300"/>
        <v>2.1693750000000009</v>
      </c>
    </row>
    <row r="1259" spans="1:25" x14ac:dyDescent="0.25">
      <c r="A1259" s="34">
        <f t="shared" ref="A1259:B1274" si="307">A1258+1</f>
        <v>1251</v>
      </c>
      <c r="B1259" s="35" t="e">
        <f t="shared" si="307"/>
        <v>#REF!</v>
      </c>
      <c r="C1259" s="42" t="s">
        <v>347</v>
      </c>
      <c r="D1259" s="43">
        <v>80</v>
      </c>
      <c r="E1259" s="43">
        <v>2</v>
      </c>
      <c r="F1259" s="36">
        <v>0.10614999999999999</v>
      </c>
      <c r="G1259" s="36">
        <v>2.0911550000000001E-2</v>
      </c>
      <c r="H1259" s="36">
        <v>4.4850000000000001E-2</v>
      </c>
      <c r="I1259" s="37">
        <v>6.7275E-3</v>
      </c>
      <c r="J1259" s="32">
        <f t="shared" si="298"/>
        <v>9.9791250000000026E-2</v>
      </c>
      <c r="K1259" s="33">
        <f t="shared" si="301"/>
        <v>1.4968687500000003E-2</v>
      </c>
      <c r="L1259" s="33"/>
      <c r="O1259" s="2">
        <f t="shared" si="303"/>
        <v>1.8687500000000003E-2</v>
      </c>
      <c r="P1259" s="2">
        <f t="shared" si="304"/>
        <v>13.455000000000002</v>
      </c>
      <c r="Q1259" s="7">
        <f t="shared" si="305"/>
        <v>60.937500000000007</v>
      </c>
      <c r="R1259" s="2">
        <v>1.2</v>
      </c>
      <c r="S1259" s="2">
        <f t="shared" si="299"/>
        <v>4.45</v>
      </c>
      <c r="T1259" s="2"/>
      <c r="U1259" s="2"/>
      <c r="Y1259" s="8">
        <f t="shared" si="300"/>
        <v>2.1693750000000009</v>
      </c>
    </row>
    <row r="1260" spans="1:25" x14ac:dyDescent="0.25">
      <c r="A1260" s="34">
        <f t="shared" si="307"/>
        <v>1252</v>
      </c>
      <c r="B1260" s="35" t="e">
        <f t="shared" si="307"/>
        <v>#REF!</v>
      </c>
      <c r="C1260" s="42" t="s">
        <v>347</v>
      </c>
      <c r="D1260" s="43">
        <v>125</v>
      </c>
      <c r="E1260" s="43"/>
      <c r="F1260" s="36">
        <v>0.11650000000000001</v>
      </c>
      <c r="G1260" s="36">
        <v>2.2950499999999999E-2</v>
      </c>
      <c r="H1260" s="36">
        <v>3.9699999999999999E-2</v>
      </c>
      <c r="I1260" s="37">
        <v>5.9550000000000002E-3</v>
      </c>
      <c r="J1260" s="32">
        <f t="shared" si="298"/>
        <v>8.8332500000000008E-2</v>
      </c>
      <c r="K1260" s="33">
        <f t="shared" si="301"/>
        <v>1.3249875000000001E-2</v>
      </c>
      <c r="L1260" s="33"/>
      <c r="O1260" s="2">
        <f t="shared" si="303"/>
        <v>1.6541666666666666E-2</v>
      </c>
      <c r="P1260" s="2">
        <f t="shared" si="304"/>
        <v>11.91</v>
      </c>
      <c r="Q1260" s="7">
        <f t="shared" si="305"/>
        <v>53.940217391304351</v>
      </c>
      <c r="R1260" s="2">
        <v>1.2</v>
      </c>
      <c r="S1260" s="2">
        <f t="shared" si="299"/>
        <v>4.45</v>
      </c>
      <c r="T1260" s="2"/>
      <c r="U1260" s="2"/>
      <c r="Y1260" s="8">
        <f t="shared" si="300"/>
        <v>1.9202717391304349</v>
      </c>
    </row>
    <row r="1261" spans="1:25" x14ac:dyDescent="0.25">
      <c r="A1261" s="34">
        <f t="shared" si="307"/>
        <v>1253</v>
      </c>
      <c r="B1261" s="35" t="e">
        <f t="shared" si="307"/>
        <v>#REF!</v>
      </c>
      <c r="C1261" s="42" t="s">
        <v>347</v>
      </c>
      <c r="D1261" s="43">
        <v>140</v>
      </c>
      <c r="E1261" s="43"/>
      <c r="F1261" s="36">
        <v>0.19980000000000001</v>
      </c>
      <c r="G1261" s="36">
        <v>3.9360600000000003E-2</v>
      </c>
      <c r="H1261" s="36">
        <v>4.4200000000000003E-2</v>
      </c>
      <c r="I1261" s="37">
        <v>6.6299999999999996E-3</v>
      </c>
      <c r="J1261" s="32">
        <f t="shared" si="298"/>
        <v>9.8345000000000016E-2</v>
      </c>
      <c r="K1261" s="33">
        <f t="shared" si="301"/>
        <v>1.4751750000000001E-2</v>
      </c>
      <c r="L1261" s="33"/>
      <c r="O1261" s="2">
        <f t="shared" si="303"/>
        <v>1.8416666666666668E-2</v>
      </c>
      <c r="P1261" s="2">
        <f t="shared" si="304"/>
        <v>13.260000000000002</v>
      </c>
      <c r="Q1261" s="7">
        <f t="shared" si="305"/>
        <v>60.054347826086968</v>
      </c>
      <c r="R1261" s="2">
        <v>1.2</v>
      </c>
      <c r="S1261" s="2">
        <f t="shared" si="299"/>
        <v>4.45</v>
      </c>
      <c r="T1261" s="2"/>
      <c r="U1261" s="2"/>
      <c r="Y1261" s="8">
        <f t="shared" si="300"/>
        <v>2.1379347826086961</v>
      </c>
    </row>
    <row r="1262" spans="1:25" x14ac:dyDescent="0.25">
      <c r="A1262" s="34">
        <f t="shared" si="307"/>
        <v>1254</v>
      </c>
      <c r="B1262" s="35" t="e">
        <f t="shared" si="307"/>
        <v>#REF!</v>
      </c>
      <c r="C1262" s="42" t="s">
        <v>347</v>
      </c>
      <c r="D1262" s="43">
        <v>144</v>
      </c>
      <c r="E1262" s="43"/>
      <c r="F1262" s="36">
        <v>0.21629999999999999</v>
      </c>
      <c r="G1262" s="36">
        <v>4.2611099999999999E-2</v>
      </c>
      <c r="H1262" s="36">
        <v>0.12659999999999999</v>
      </c>
      <c r="I1262" s="37">
        <v>1.899E-2</v>
      </c>
      <c r="J1262" s="32">
        <f t="shared" si="298"/>
        <v>0.23421</v>
      </c>
      <c r="K1262" s="33">
        <f t="shared" si="301"/>
        <v>3.5131499999999996E-2</v>
      </c>
      <c r="L1262" s="33"/>
      <c r="O1262" s="2">
        <f t="shared" si="303"/>
        <v>5.2749999999999998E-2</v>
      </c>
      <c r="P1262" s="2">
        <f t="shared" si="304"/>
        <v>37.980000000000004</v>
      </c>
      <c r="Q1262" s="7">
        <f t="shared" si="305"/>
        <v>172.0108695652174</v>
      </c>
      <c r="R1262" s="2">
        <v>1.2</v>
      </c>
      <c r="S1262" s="2">
        <f t="shared" si="299"/>
        <v>3.7</v>
      </c>
      <c r="T1262" s="2"/>
      <c r="U1262" s="2"/>
      <c r="Y1262" s="8">
        <f t="shared" si="300"/>
        <v>5.0915217391304344</v>
      </c>
    </row>
    <row r="1263" spans="1:25" x14ac:dyDescent="0.25">
      <c r="A1263" s="34">
        <f t="shared" si="307"/>
        <v>1255</v>
      </c>
      <c r="B1263" s="35" t="e">
        <f t="shared" si="307"/>
        <v>#REF!</v>
      </c>
      <c r="C1263" s="42" t="s">
        <v>347</v>
      </c>
      <c r="D1263" s="43">
        <v>146</v>
      </c>
      <c r="E1263" s="43"/>
      <c r="F1263" s="36">
        <v>0.21629999999999999</v>
      </c>
      <c r="G1263" s="36">
        <v>4.2611099999999999E-2</v>
      </c>
      <c r="H1263" s="36">
        <v>0.1045</v>
      </c>
      <c r="I1263" s="37">
        <v>1.5675000000000001E-2</v>
      </c>
      <c r="J1263" s="32">
        <f t="shared" si="298"/>
        <v>0.23251250000000001</v>
      </c>
      <c r="K1263" s="33">
        <f t="shared" si="301"/>
        <v>3.4876875000000002E-2</v>
      </c>
      <c r="L1263" s="33"/>
      <c r="O1263" s="2">
        <f t="shared" si="303"/>
        <v>4.3541666666666666E-2</v>
      </c>
      <c r="P1263" s="2">
        <f t="shared" si="304"/>
        <v>31.349999999999998</v>
      </c>
      <c r="Q1263" s="7">
        <f t="shared" si="305"/>
        <v>141.98369565217391</v>
      </c>
      <c r="R1263" s="2">
        <v>1.2</v>
      </c>
      <c r="S1263" s="2">
        <f t="shared" si="299"/>
        <v>4.45</v>
      </c>
      <c r="T1263" s="2"/>
      <c r="U1263" s="2"/>
      <c r="Y1263" s="8">
        <f t="shared" si="300"/>
        <v>5.0546195652173918</v>
      </c>
    </row>
    <row r="1264" spans="1:25" x14ac:dyDescent="0.25">
      <c r="A1264" s="34">
        <f t="shared" si="307"/>
        <v>1256</v>
      </c>
      <c r="B1264" s="35" t="e">
        <f t="shared" si="307"/>
        <v>#REF!</v>
      </c>
      <c r="C1264" s="42" t="s">
        <v>347</v>
      </c>
      <c r="D1264" s="43">
        <v>148</v>
      </c>
      <c r="E1264" s="43"/>
      <c r="F1264" s="36">
        <v>0.1802</v>
      </c>
      <c r="G1264" s="36">
        <v>3.54994E-2</v>
      </c>
      <c r="H1264" s="36">
        <v>7.7299999999999994E-2</v>
      </c>
      <c r="I1264" s="37">
        <v>1.1594999999999999E-2</v>
      </c>
      <c r="J1264" s="32">
        <f t="shared" si="298"/>
        <v>0.17199249999999999</v>
      </c>
      <c r="K1264" s="33">
        <f t="shared" si="301"/>
        <v>2.5798874999999999E-2</v>
      </c>
      <c r="L1264" s="33"/>
      <c r="O1264" s="2">
        <f t="shared" si="303"/>
        <v>3.2208333333333332E-2</v>
      </c>
      <c r="P1264" s="2">
        <f t="shared" si="304"/>
        <v>23.189999999999998</v>
      </c>
      <c r="Q1264" s="7">
        <f t="shared" si="305"/>
        <v>105.02717391304347</v>
      </c>
      <c r="R1264" s="2">
        <v>1.2</v>
      </c>
      <c r="S1264" s="2">
        <f t="shared" si="299"/>
        <v>4.45</v>
      </c>
      <c r="T1264" s="2"/>
      <c r="U1264" s="2"/>
      <c r="Y1264" s="8">
        <f t="shared" si="300"/>
        <v>3.7389673913043477</v>
      </c>
    </row>
    <row r="1265" spans="1:25" x14ac:dyDescent="0.25">
      <c r="A1265" s="34">
        <f t="shared" si="307"/>
        <v>1257</v>
      </c>
      <c r="B1265" s="35" t="e">
        <f t="shared" si="307"/>
        <v>#REF!</v>
      </c>
      <c r="C1265" s="42" t="s">
        <v>347</v>
      </c>
      <c r="D1265" s="43">
        <v>150</v>
      </c>
      <c r="E1265" s="43">
        <v>1</v>
      </c>
      <c r="F1265" s="36">
        <v>0.1308</v>
      </c>
      <c r="G1265" s="36">
        <v>2.5767600000000002E-2</v>
      </c>
      <c r="H1265" s="36">
        <v>6.1449999999999998E-2</v>
      </c>
      <c r="I1265" s="37">
        <v>9.2175E-3</v>
      </c>
      <c r="J1265" s="32">
        <f t="shared" si="298"/>
        <v>0.13672624999999999</v>
      </c>
      <c r="K1265" s="33">
        <f t="shared" si="301"/>
        <v>2.0508937499999998E-2</v>
      </c>
      <c r="L1265" s="33"/>
      <c r="O1265" s="2">
        <f t="shared" si="303"/>
        <v>2.5604166666666667E-2</v>
      </c>
      <c r="P1265" s="2">
        <f t="shared" si="304"/>
        <v>18.435000000000002</v>
      </c>
      <c r="Q1265" s="7">
        <f t="shared" si="305"/>
        <v>83.491847826086968</v>
      </c>
      <c r="R1265" s="2">
        <v>1.2</v>
      </c>
      <c r="S1265" s="2">
        <f t="shared" si="299"/>
        <v>4.45</v>
      </c>
      <c r="T1265" s="2"/>
      <c r="U1265" s="2"/>
      <c r="Y1265" s="8">
        <f t="shared" si="300"/>
        <v>2.9723097826086957</v>
      </c>
    </row>
    <row r="1266" spans="1:25" x14ac:dyDescent="0.25">
      <c r="A1266" s="34">
        <f t="shared" si="307"/>
        <v>1258</v>
      </c>
      <c r="B1266" s="35" t="e">
        <f t="shared" si="307"/>
        <v>#REF!</v>
      </c>
      <c r="C1266" s="42" t="s">
        <v>347</v>
      </c>
      <c r="D1266" s="43">
        <v>150</v>
      </c>
      <c r="E1266" s="43">
        <v>2</v>
      </c>
      <c r="F1266" s="36">
        <v>0.1308</v>
      </c>
      <c r="G1266" s="36">
        <v>2.5767600000000002E-2</v>
      </c>
      <c r="H1266" s="36">
        <v>6.1449999999999998E-2</v>
      </c>
      <c r="I1266" s="37">
        <v>9.2175E-3</v>
      </c>
      <c r="J1266" s="32">
        <f t="shared" si="298"/>
        <v>0.13672624999999999</v>
      </c>
      <c r="K1266" s="33">
        <f t="shared" si="301"/>
        <v>2.0508937499999998E-2</v>
      </c>
      <c r="L1266" s="33"/>
      <c r="O1266" s="2">
        <f t="shared" si="303"/>
        <v>2.5604166666666667E-2</v>
      </c>
      <c r="P1266" s="2">
        <f t="shared" si="304"/>
        <v>18.435000000000002</v>
      </c>
      <c r="Q1266" s="7">
        <f t="shared" si="305"/>
        <v>83.491847826086968</v>
      </c>
      <c r="R1266" s="2">
        <v>1.2</v>
      </c>
      <c r="S1266" s="2">
        <f t="shared" si="299"/>
        <v>4.45</v>
      </c>
      <c r="T1266" s="2"/>
      <c r="U1266" s="2"/>
      <c r="Y1266" s="8">
        <f t="shared" si="300"/>
        <v>2.9723097826086957</v>
      </c>
    </row>
    <row r="1267" spans="1:25" x14ac:dyDescent="0.25">
      <c r="A1267" s="34">
        <f t="shared" si="307"/>
        <v>1259</v>
      </c>
      <c r="B1267" s="35" t="e">
        <f t="shared" si="307"/>
        <v>#REF!</v>
      </c>
      <c r="C1267" s="42" t="s">
        <v>348</v>
      </c>
      <c r="D1267" s="43">
        <v>1</v>
      </c>
      <c r="E1267" s="43"/>
      <c r="F1267" s="36">
        <v>0.16639999999999999</v>
      </c>
      <c r="G1267" s="36">
        <v>3.2780799999999999E-2</v>
      </c>
      <c r="H1267" s="36">
        <v>7.2900000000000006E-2</v>
      </c>
      <c r="I1267" s="37">
        <v>1.0935E-2</v>
      </c>
      <c r="J1267" s="32">
        <f t="shared" si="298"/>
        <v>0.16220250000000003</v>
      </c>
      <c r="K1267" s="33">
        <f t="shared" si="301"/>
        <v>2.4330375000000005E-2</v>
      </c>
      <c r="L1267" s="33"/>
      <c r="O1267" s="2">
        <f t="shared" si="303"/>
        <v>3.0375000000000003E-2</v>
      </c>
      <c r="P1267" s="2">
        <f t="shared" si="304"/>
        <v>21.870000000000005</v>
      </c>
      <c r="Q1267" s="7">
        <f t="shared" si="305"/>
        <v>99.048913043478279</v>
      </c>
      <c r="R1267" s="2">
        <v>1.2</v>
      </c>
      <c r="S1267" s="2">
        <f t="shared" si="299"/>
        <v>4.45</v>
      </c>
      <c r="T1267" s="2"/>
      <c r="U1267" s="2"/>
      <c r="Y1267" s="8">
        <f t="shared" si="300"/>
        <v>3.5261413043478269</v>
      </c>
    </row>
    <row r="1268" spans="1:25" x14ac:dyDescent="0.25">
      <c r="A1268" s="34">
        <f t="shared" si="307"/>
        <v>1260</v>
      </c>
      <c r="B1268" s="35" t="e">
        <f t="shared" si="307"/>
        <v>#REF!</v>
      </c>
      <c r="C1268" s="42" t="s">
        <v>348</v>
      </c>
      <c r="D1268" s="43">
        <v>2</v>
      </c>
      <c r="E1268" s="43"/>
      <c r="F1268" s="36">
        <v>0.21310000000000001</v>
      </c>
      <c r="G1268" s="36">
        <v>4.1980700000000003E-2</v>
      </c>
      <c r="H1268" s="36">
        <v>6.4000000000000001E-2</v>
      </c>
      <c r="I1268" s="37">
        <v>9.5999999999999992E-3</v>
      </c>
      <c r="J1268" s="32">
        <f t="shared" si="298"/>
        <v>0.1424</v>
      </c>
      <c r="K1268" s="33">
        <f t="shared" si="301"/>
        <v>2.1360000000000001E-2</v>
      </c>
      <c r="L1268" s="33"/>
      <c r="O1268" s="2">
        <f t="shared" si="303"/>
        <v>2.6666666666666668E-2</v>
      </c>
      <c r="P1268" s="2">
        <f t="shared" si="304"/>
        <v>19.2</v>
      </c>
      <c r="Q1268" s="7">
        <f t="shared" si="305"/>
        <v>86.956521739130437</v>
      </c>
      <c r="R1268" s="2">
        <v>1.2</v>
      </c>
      <c r="S1268" s="2">
        <f t="shared" si="299"/>
        <v>4.45</v>
      </c>
      <c r="T1268" s="2"/>
      <c r="U1268" s="2"/>
      <c r="Y1268" s="8">
        <f t="shared" si="300"/>
        <v>3.0956521739130438</v>
      </c>
    </row>
    <row r="1269" spans="1:25" x14ac:dyDescent="0.25">
      <c r="A1269" s="34">
        <f t="shared" si="307"/>
        <v>1261</v>
      </c>
      <c r="B1269" s="35" t="e">
        <f t="shared" si="307"/>
        <v>#REF!</v>
      </c>
      <c r="C1269" s="42" t="s">
        <v>348</v>
      </c>
      <c r="D1269" s="43">
        <v>3</v>
      </c>
      <c r="E1269" s="43"/>
      <c r="F1269" s="36">
        <v>0.16450000000000001</v>
      </c>
      <c r="G1269" s="36">
        <v>3.2406499999999998E-2</v>
      </c>
      <c r="H1269" s="36">
        <v>6.7000000000000004E-2</v>
      </c>
      <c r="I1269" s="37">
        <v>1.005E-2</v>
      </c>
      <c r="J1269" s="32">
        <f t="shared" si="298"/>
        <v>0.14907500000000001</v>
      </c>
      <c r="K1269" s="33">
        <f t="shared" si="301"/>
        <v>2.2361250000000003E-2</v>
      </c>
      <c r="L1269" s="33"/>
      <c r="O1269" s="2">
        <f t="shared" si="303"/>
        <v>2.7916666666666669E-2</v>
      </c>
      <c r="P1269" s="2">
        <f t="shared" si="304"/>
        <v>20.100000000000001</v>
      </c>
      <c r="Q1269" s="7">
        <f t="shared" si="305"/>
        <v>91.032608695652186</v>
      </c>
      <c r="R1269" s="2">
        <v>1.2</v>
      </c>
      <c r="S1269" s="2">
        <f t="shared" si="299"/>
        <v>4.45</v>
      </c>
      <c r="T1269" s="2"/>
      <c r="U1269" s="2"/>
      <c r="Y1269" s="8">
        <f t="shared" si="300"/>
        <v>3.2407608695652175</v>
      </c>
    </row>
    <row r="1270" spans="1:25" x14ac:dyDescent="0.25">
      <c r="A1270" s="34">
        <f t="shared" si="307"/>
        <v>1262</v>
      </c>
      <c r="B1270" s="35" t="e">
        <f t="shared" si="307"/>
        <v>#REF!</v>
      </c>
      <c r="C1270" s="42" t="s">
        <v>348</v>
      </c>
      <c r="D1270" s="43">
        <v>4</v>
      </c>
      <c r="E1270" s="43"/>
      <c r="F1270" s="36">
        <v>0.2359</v>
      </c>
      <c r="G1270" s="36">
        <v>4.6472300000000001E-2</v>
      </c>
      <c r="H1270" s="36">
        <v>0.10009999999999999</v>
      </c>
      <c r="I1270" s="37">
        <v>1.5015000000000001E-2</v>
      </c>
      <c r="J1270" s="32">
        <f t="shared" si="298"/>
        <v>0.22272249999999999</v>
      </c>
      <c r="K1270" s="33">
        <f t="shared" si="301"/>
        <v>3.3408374999999997E-2</v>
      </c>
      <c r="L1270" s="33"/>
      <c r="O1270" s="2">
        <f t="shared" si="303"/>
        <v>4.1708333333333333E-2</v>
      </c>
      <c r="P1270" s="2">
        <f t="shared" si="304"/>
        <v>30.029999999999998</v>
      </c>
      <c r="Q1270" s="7">
        <f t="shared" si="305"/>
        <v>136.00543478260869</v>
      </c>
      <c r="R1270" s="2">
        <v>1.2</v>
      </c>
      <c r="S1270" s="2">
        <f t="shared" si="299"/>
        <v>4.45</v>
      </c>
      <c r="T1270" s="2"/>
      <c r="U1270" s="2"/>
      <c r="Y1270" s="8">
        <f t="shared" si="300"/>
        <v>4.84179347826087</v>
      </c>
    </row>
    <row r="1271" spans="1:25" x14ac:dyDescent="0.25">
      <c r="A1271" s="34">
        <f t="shared" si="307"/>
        <v>1263</v>
      </c>
      <c r="B1271" s="35" t="e">
        <f t="shared" si="307"/>
        <v>#REF!</v>
      </c>
      <c r="C1271" s="42" t="s">
        <v>348</v>
      </c>
      <c r="D1271" s="43">
        <v>5</v>
      </c>
      <c r="E1271" s="43"/>
      <c r="F1271" s="36">
        <v>0.16930000000000001</v>
      </c>
      <c r="G1271" s="36">
        <v>3.3352100000000003E-2</v>
      </c>
      <c r="H1271" s="36">
        <v>8.09E-2</v>
      </c>
      <c r="I1271" s="37">
        <v>1.2135E-2</v>
      </c>
      <c r="J1271" s="32">
        <f t="shared" si="298"/>
        <v>0.18000250000000001</v>
      </c>
      <c r="K1271" s="33">
        <f t="shared" si="301"/>
        <v>2.7000375E-2</v>
      </c>
      <c r="L1271" s="33"/>
      <c r="O1271" s="2">
        <f t="shared" si="303"/>
        <v>3.3708333333333333E-2</v>
      </c>
      <c r="P1271" s="2">
        <f t="shared" si="304"/>
        <v>24.27</v>
      </c>
      <c r="Q1271" s="7">
        <f t="shared" si="305"/>
        <v>109.91847826086956</v>
      </c>
      <c r="R1271" s="2">
        <v>1.2</v>
      </c>
      <c r="S1271" s="2">
        <f t="shared" si="299"/>
        <v>4.45</v>
      </c>
      <c r="T1271" s="2"/>
      <c r="U1271" s="2"/>
      <c r="Y1271" s="8">
        <f t="shared" si="300"/>
        <v>3.9130978260869567</v>
      </c>
    </row>
    <row r="1272" spans="1:25" x14ac:dyDescent="0.25">
      <c r="A1272" s="34">
        <f t="shared" si="307"/>
        <v>1264</v>
      </c>
      <c r="B1272" s="35" t="e">
        <f t="shared" si="307"/>
        <v>#REF!</v>
      </c>
      <c r="C1272" s="42" t="s">
        <v>348</v>
      </c>
      <c r="D1272" s="43">
        <v>6</v>
      </c>
      <c r="E1272" s="43">
        <v>1</v>
      </c>
      <c r="F1272" s="36">
        <v>0.1163</v>
      </c>
      <c r="G1272" s="36">
        <v>2.29111E-2</v>
      </c>
      <c r="H1272" s="36">
        <v>0.125</v>
      </c>
      <c r="I1272" s="37">
        <f>H1272*0.15</f>
        <v>1.8749999999999999E-2</v>
      </c>
      <c r="J1272" s="32">
        <f t="shared" si="298"/>
        <v>0.23125000000000001</v>
      </c>
      <c r="K1272" s="33">
        <f t="shared" si="301"/>
        <v>3.4687500000000003E-2</v>
      </c>
      <c r="L1272" s="33"/>
      <c r="O1272" s="2">
        <f t="shared" si="303"/>
        <v>5.2083333333333336E-2</v>
      </c>
      <c r="P1272" s="2">
        <f t="shared" si="304"/>
        <v>37.5</v>
      </c>
      <c r="Q1272" s="7">
        <f t="shared" si="305"/>
        <v>169.83695652173913</v>
      </c>
      <c r="R1272" s="2">
        <v>1.2</v>
      </c>
      <c r="S1272" s="2">
        <f t="shared" si="299"/>
        <v>3.7</v>
      </c>
      <c r="T1272" s="2"/>
      <c r="U1272" s="2"/>
      <c r="Y1272" s="8">
        <f t="shared" si="300"/>
        <v>5.0271739130434785</v>
      </c>
    </row>
    <row r="1273" spans="1:25" x14ac:dyDescent="0.25">
      <c r="A1273" s="34">
        <f t="shared" si="307"/>
        <v>1265</v>
      </c>
      <c r="B1273" s="35" t="e">
        <f t="shared" si="307"/>
        <v>#REF!</v>
      </c>
      <c r="C1273" s="42" t="s">
        <v>348</v>
      </c>
      <c r="D1273" s="43">
        <v>6</v>
      </c>
      <c r="E1273" s="43">
        <v>2</v>
      </c>
      <c r="F1273" s="36">
        <v>0.11840000000000001</v>
      </c>
      <c r="G1273" s="36">
        <v>2.33248E-2</v>
      </c>
      <c r="H1273" s="36">
        <v>0</v>
      </c>
      <c r="I1273" s="37">
        <v>0</v>
      </c>
      <c r="J1273" s="32">
        <f t="shared" si="298"/>
        <v>0</v>
      </c>
      <c r="K1273" s="33">
        <f t="shared" si="301"/>
        <v>0</v>
      </c>
      <c r="L1273" s="33"/>
      <c r="O1273" s="2">
        <f t="shared" si="303"/>
        <v>0</v>
      </c>
      <c r="P1273" s="2">
        <f t="shared" si="304"/>
        <v>0</v>
      </c>
      <c r="Q1273" s="7">
        <f t="shared" si="305"/>
        <v>0</v>
      </c>
      <c r="R1273" s="2">
        <v>1.2</v>
      </c>
      <c r="S1273" s="2">
        <f t="shared" si="299"/>
        <v>4.45</v>
      </c>
      <c r="T1273" s="2"/>
      <c r="U1273" s="2"/>
      <c r="Y1273" s="8">
        <f t="shared" si="300"/>
        <v>0</v>
      </c>
    </row>
    <row r="1274" spans="1:25" x14ac:dyDescent="0.25">
      <c r="A1274" s="34">
        <f t="shared" si="307"/>
        <v>1266</v>
      </c>
      <c r="B1274" s="35" t="e">
        <f t="shared" si="307"/>
        <v>#REF!</v>
      </c>
      <c r="C1274" s="42" t="s">
        <v>348</v>
      </c>
      <c r="D1274" s="43">
        <v>7</v>
      </c>
      <c r="E1274" s="43"/>
      <c r="F1274" s="36">
        <v>0.29649999999999999</v>
      </c>
      <c r="G1274" s="36">
        <v>5.8410499999999997E-2</v>
      </c>
      <c r="H1274" s="36">
        <v>0.1807</v>
      </c>
      <c r="I1274" s="37">
        <v>2.7105000000000001E-2</v>
      </c>
      <c r="J1274" s="32">
        <f t="shared" si="298"/>
        <v>0.33429500000000001</v>
      </c>
      <c r="K1274" s="33">
        <f t="shared" si="301"/>
        <v>5.0144250000000001E-2</v>
      </c>
      <c r="L1274" s="33"/>
      <c r="O1274" s="2">
        <f t="shared" si="303"/>
        <v>7.5291666666666673E-2</v>
      </c>
      <c r="P1274" s="2">
        <f t="shared" si="304"/>
        <v>54.210000000000008</v>
      </c>
      <c r="Q1274" s="7">
        <f t="shared" si="305"/>
        <v>245.51630434782612</v>
      </c>
      <c r="R1274" s="2">
        <v>1.2</v>
      </c>
      <c r="S1274" s="2">
        <f t="shared" si="299"/>
        <v>3.7</v>
      </c>
      <c r="T1274" s="2"/>
      <c r="U1274" s="2"/>
      <c r="Y1274" s="8">
        <f t="shared" si="300"/>
        <v>7.2672826086956519</v>
      </c>
    </row>
    <row r="1275" spans="1:25" x14ac:dyDescent="0.25">
      <c r="A1275" s="34">
        <f t="shared" ref="A1275:B1290" si="308">A1274+1</f>
        <v>1267</v>
      </c>
      <c r="B1275" s="35" t="e">
        <f t="shared" si="308"/>
        <v>#REF!</v>
      </c>
      <c r="C1275" s="42" t="s">
        <v>348</v>
      </c>
      <c r="D1275" s="43">
        <v>8</v>
      </c>
      <c r="E1275" s="43"/>
      <c r="F1275" s="36">
        <v>0.17760000000000001</v>
      </c>
      <c r="G1275" s="36">
        <v>3.4987200000000003E-2</v>
      </c>
      <c r="H1275" s="36">
        <v>7.51E-2</v>
      </c>
      <c r="I1275" s="37">
        <v>1.1265000000000001E-2</v>
      </c>
      <c r="J1275" s="32">
        <f t="shared" si="298"/>
        <v>0.16709750000000001</v>
      </c>
      <c r="K1275" s="33">
        <f t="shared" si="301"/>
        <v>2.5064625E-2</v>
      </c>
      <c r="L1275" s="33"/>
      <c r="O1275" s="2">
        <f t="shared" si="303"/>
        <v>3.1291666666666669E-2</v>
      </c>
      <c r="P1275" s="2">
        <f t="shared" si="304"/>
        <v>22.530000000000005</v>
      </c>
      <c r="Q1275" s="7">
        <f t="shared" si="305"/>
        <v>102.03804347826089</v>
      </c>
      <c r="R1275" s="2">
        <v>1.2</v>
      </c>
      <c r="S1275" s="2">
        <f t="shared" si="299"/>
        <v>4.45</v>
      </c>
      <c r="T1275" s="2"/>
      <c r="U1275" s="2"/>
      <c r="Y1275" s="8">
        <f t="shared" si="300"/>
        <v>3.6325543478260869</v>
      </c>
    </row>
    <row r="1276" spans="1:25" x14ac:dyDescent="0.25">
      <c r="A1276" s="34">
        <f t="shared" si="308"/>
        <v>1268</v>
      </c>
      <c r="B1276" s="35" t="e">
        <f t="shared" si="308"/>
        <v>#REF!</v>
      </c>
      <c r="C1276" s="42" t="s">
        <v>348</v>
      </c>
      <c r="D1276" s="43">
        <v>12</v>
      </c>
      <c r="E1276" s="43"/>
      <c r="F1276" s="36">
        <v>0.10150000000000001</v>
      </c>
      <c r="G1276" s="36">
        <v>1.9995499999999999E-2</v>
      </c>
      <c r="H1276" s="36">
        <v>0.06</v>
      </c>
      <c r="I1276" s="37">
        <v>8.9999999999999993E-3</v>
      </c>
      <c r="J1276" s="32">
        <f t="shared" si="298"/>
        <v>0.13350000000000001</v>
      </c>
      <c r="K1276" s="33">
        <f t="shared" si="301"/>
        <v>2.0025000000000001E-2</v>
      </c>
      <c r="L1276" s="33"/>
      <c r="O1276" s="2">
        <f t="shared" si="303"/>
        <v>2.5000000000000001E-2</v>
      </c>
      <c r="P1276" s="2">
        <f t="shared" si="304"/>
        <v>18.000000000000004</v>
      </c>
      <c r="Q1276" s="7">
        <f t="shared" si="305"/>
        <v>81.521739130434796</v>
      </c>
      <c r="R1276" s="2">
        <v>1.2</v>
      </c>
      <c r="S1276" s="2">
        <f t="shared" si="299"/>
        <v>4.45</v>
      </c>
      <c r="T1276" s="2"/>
      <c r="U1276" s="2"/>
      <c r="Y1276" s="8">
        <f t="shared" si="300"/>
        <v>2.9021739130434785</v>
      </c>
    </row>
    <row r="1277" spans="1:25" x14ac:dyDescent="0.25">
      <c r="A1277" s="34">
        <f t="shared" si="308"/>
        <v>1269</v>
      </c>
      <c r="B1277" s="35" t="e">
        <f t="shared" si="308"/>
        <v>#REF!</v>
      </c>
      <c r="C1277" s="42" t="s">
        <v>348</v>
      </c>
      <c r="D1277" s="43">
        <v>15</v>
      </c>
      <c r="E1277" s="43"/>
      <c r="F1277" s="36">
        <v>0.1047</v>
      </c>
      <c r="G1277" s="36">
        <v>2.0625899999999999E-2</v>
      </c>
      <c r="H1277" s="36">
        <v>3.3099999999999997E-2</v>
      </c>
      <c r="I1277" s="37">
        <v>4.9649999999999998E-3</v>
      </c>
      <c r="J1277" s="32">
        <f t="shared" si="298"/>
        <v>7.3647499999999991E-2</v>
      </c>
      <c r="K1277" s="33">
        <f t="shared" si="301"/>
        <v>1.1047124999999998E-2</v>
      </c>
      <c r="L1277" s="33"/>
      <c r="O1277" s="2">
        <f t="shared" si="303"/>
        <v>1.3791666666666666E-2</v>
      </c>
      <c r="P1277" s="2">
        <f t="shared" si="304"/>
        <v>9.93</v>
      </c>
      <c r="Q1277" s="7">
        <f t="shared" si="305"/>
        <v>44.972826086956523</v>
      </c>
      <c r="R1277" s="2">
        <v>1.2</v>
      </c>
      <c r="S1277" s="2">
        <f t="shared" si="299"/>
        <v>4.45</v>
      </c>
      <c r="T1277" s="2"/>
      <c r="U1277" s="2"/>
      <c r="Y1277" s="8">
        <f t="shared" si="300"/>
        <v>1.6010326086956519</v>
      </c>
    </row>
    <row r="1278" spans="1:25" x14ac:dyDescent="0.25">
      <c r="A1278" s="34">
        <f t="shared" si="308"/>
        <v>1270</v>
      </c>
      <c r="B1278" s="35" t="e">
        <f t="shared" si="308"/>
        <v>#REF!</v>
      </c>
      <c r="C1278" s="42" t="s">
        <v>348</v>
      </c>
      <c r="D1278" s="43">
        <v>17</v>
      </c>
      <c r="E1278" s="43"/>
      <c r="F1278" s="36">
        <v>0.15939999999999999</v>
      </c>
      <c r="G1278" s="36">
        <v>3.1401800000000001E-2</v>
      </c>
      <c r="H1278" s="36">
        <v>6.7699999999999996E-2</v>
      </c>
      <c r="I1278" s="37">
        <v>1.0155000000000001E-2</v>
      </c>
      <c r="J1278" s="32">
        <f t="shared" si="298"/>
        <v>0.1506325</v>
      </c>
      <c r="K1278" s="33">
        <f t="shared" si="301"/>
        <v>2.2594875E-2</v>
      </c>
      <c r="L1278" s="33"/>
      <c r="O1278" s="2">
        <f t="shared" si="303"/>
        <v>2.8208333333333332E-2</v>
      </c>
      <c r="P1278" s="2">
        <f t="shared" si="304"/>
        <v>20.309999999999999</v>
      </c>
      <c r="Q1278" s="7">
        <f t="shared" si="305"/>
        <v>91.983695652173907</v>
      </c>
      <c r="R1278" s="2">
        <v>1.2</v>
      </c>
      <c r="S1278" s="2">
        <f t="shared" si="299"/>
        <v>4.45</v>
      </c>
      <c r="T1278" s="2"/>
      <c r="U1278" s="2"/>
      <c r="Y1278" s="8">
        <f t="shared" si="300"/>
        <v>3.2746195652173915</v>
      </c>
    </row>
    <row r="1279" spans="1:25" x14ac:dyDescent="0.25">
      <c r="A1279" s="34">
        <f t="shared" si="308"/>
        <v>1271</v>
      </c>
      <c r="B1279" s="35" t="e">
        <f t="shared" si="308"/>
        <v>#REF!</v>
      </c>
      <c r="C1279" s="42" t="s">
        <v>348</v>
      </c>
      <c r="D1279" s="43">
        <v>19</v>
      </c>
      <c r="E1279" s="43"/>
      <c r="F1279" s="36">
        <v>0.23680000000000001</v>
      </c>
      <c r="G1279" s="36">
        <v>4.6649599999999999E-2</v>
      </c>
      <c r="H1279" s="36">
        <v>0.1119</v>
      </c>
      <c r="I1279" s="37">
        <v>1.6785000000000001E-2</v>
      </c>
      <c r="J1279" s="32">
        <f t="shared" si="298"/>
        <v>0.207015</v>
      </c>
      <c r="K1279" s="33">
        <f t="shared" si="301"/>
        <v>3.105225E-2</v>
      </c>
      <c r="L1279" s="33"/>
      <c r="O1279" s="2">
        <f t="shared" si="303"/>
        <v>4.6625E-2</v>
      </c>
      <c r="P1279" s="2">
        <f t="shared" si="304"/>
        <v>33.57</v>
      </c>
      <c r="Q1279" s="7">
        <f t="shared" si="305"/>
        <v>152.03804347826087</v>
      </c>
      <c r="R1279" s="2">
        <v>1.2</v>
      </c>
      <c r="S1279" s="2">
        <f t="shared" si="299"/>
        <v>3.7</v>
      </c>
      <c r="T1279" s="2"/>
      <c r="U1279" s="2"/>
      <c r="Y1279" s="8">
        <f t="shared" si="300"/>
        <v>4.5003260869565214</v>
      </c>
    </row>
    <row r="1280" spans="1:25" x14ac:dyDescent="0.25">
      <c r="A1280" s="34">
        <f t="shared" si="308"/>
        <v>1272</v>
      </c>
      <c r="B1280" s="35" t="e">
        <f t="shared" si="308"/>
        <v>#REF!</v>
      </c>
      <c r="C1280" s="42" t="s">
        <v>348</v>
      </c>
      <c r="D1280" s="43">
        <v>21</v>
      </c>
      <c r="E1280" s="43"/>
      <c r="F1280" s="36">
        <v>0.17119999999999999</v>
      </c>
      <c r="G1280" s="36">
        <v>3.3726399999999997E-2</v>
      </c>
      <c r="H1280" s="36">
        <v>7.7299999999999994E-2</v>
      </c>
      <c r="I1280" s="37">
        <v>1.1594999999999999E-2</v>
      </c>
      <c r="J1280" s="32">
        <f t="shared" si="298"/>
        <v>0.17199249999999999</v>
      </c>
      <c r="K1280" s="33">
        <f t="shared" si="301"/>
        <v>2.5798874999999999E-2</v>
      </c>
      <c r="L1280" s="33"/>
      <c r="O1280" s="2">
        <f t="shared" si="303"/>
        <v>3.2208333333333332E-2</v>
      </c>
      <c r="P1280" s="2">
        <f t="shared" si="304"/>
        <v>23.189999999999998</v>
      </c>
      <c r="Q1280" s="7">
        <f t="shared" si="305"/>
        <v>105.02717391304347</v>
      </c>
      <c r="R1280" s="2">
        <v>1.2</v>
      </c>
      <c r="S1280" s="2">
        <f t="shared" si="299"/>
        <v>4.45</v>
      </c>
      <c r="T1280" s="2"/>
      <c r="U1280" s="2"/>
      <c r="Y1280" s="8">
        <f t="shared" si="300"/>
        <v>3.7389673913043477</v>
      </c>
    </row>
    <row r="1281" spans="1:25" x14ac:dyDescent="0.25">
      <c r="A1281" s="34">
        <f t="shared" si="308"/>
        <v>1273</v>
      </c>
      <c r="B1281" s="35" t="e">
        <f t="shared" si="308"/>
        <v>#REF!</v>
      </c>
      <c r="C1281" s="42" t="s">
        <v>348</v>
      </c>
      <c r="D1281" s="43">
        <v>23</v>
      </c>
      <c r="E1281" s="43"/>
      <c r="F1281" s="36">
        <v>0.10009999999999999</v>
      </c>
      <c r="G1281" s="36">
        <v>1.97197E-2</v>
      </c>
      <c r="H1281" s="36">
        <v>3.2399999999999998E-2</v>
      </c>
      <c r="I1281" s="37">
        <v>4.8599999999999997E-3</v>
      </c>
      <c r="J1281" s="32">
        <f t="shared" si="298"/>
        <v>7.2090000000000001E-2</v>
      </c>
      <c r="K1281" s="33">
        <f t="shared" si="301"/>
        <v>1.08135E-2</v>
      </c>
      <c r="L1281" s="33"/>
      <c r="O1281" s="2">
        <f t="shared" si="303"/>
        <v>1.35E-2</v>
      </c>
      <c r="P1281" s="2">
        <f t="shared" si="304"/>
        <v>9.7200000000000006</v>
      </c>
      <c r="Q1281" s="7">
        <f t="shared" si="305"/>
        <v>44.021739130434788</v>
      </c>
      <c r="R1281" s="2">
        <v>1.2</v>
      </c>
      <c r="S1281" s="2">
        <f t="shared" si="299"/>
        <v>4.45</v>
      </c>
      <c r="T1281" s="2"/>
      <c r="U1281" s="2"/>
      <c r="Y1281" s="8">
        <f t="shared" si="300"/>
        <v>1.5671739130434783</v>
      </c>
    </row>
    <row r="1282" spans="1:25" x14ac:dyDescent="0.25">
      <c r="A1282" s="34">
        <f t="shared" si="308"/>
        <v>1274</v>
      </c>
      <c r="B1282" s="35" t="e">
        <f t="shared" si="308"/>
        <v>#REF!</v>
      </c>
      <c r="C1282" s="42" t="s">
        <v>348</v>
      </c>
      <c r="D1282" s="43">
        <v>25</v>
      </c>
      <c r="E1282" s="43">
        <v>1</v>
      </c>
      <c r="F1282" s="36">
        <v>0.1129</v>
      </c>
      <c r="G1282" s="36">
        <v>2.2241299999999999E-2</v>
      </c>
      <c r="H1282" s="36">
        <v>9.7799999999999998E-2</v>
      </c>
      <c r="I1282" s="37">
        <f>H1282*0.15</f>
        <v>1.4669999999999999E-2</v>
      </c>
      <c r="J1282" s="32">
        <f t="shared" si="298"/>
        <v>0.21760499999999999</v>
      </c>
      <c r="K1282" s="33">
        <f t="shared" si="301"/>
        <v>3.2640749999999996E-2</v>
      </c>
      <c r="L1282" s="33"/>
      <c r="O1282" s="2">
        <f t="shared" si="303"/>
        <v>4.0750000000000001E-2</v>
      </c>
      <c r="P1282" s="2">
        <f t="shared" si="304"/>
        <v>29.34</v>
      </c>
      <c r="Q1282" s="7">
        <f t="shared" si="305"/>
        <v>132.88043478260869</v>
      </c>
      <c r="R1282" s="2">
        <v>1.2</v>
      </c>
      <c r="S1282" s="2">
        <f t="shared" si="299"/>
        <v>4.45</v>
      </c>
      <c r="T1282" s="2"/>
      <c r="U1282" s="2"/>
      <c r="Y1282" s="8">
        <f t="shared" si="300"/>
        <v>4.73054347826087</v>
      </c>
    </row>
    <row r="1283" spans="1:25" x14ac:dyDescent="0.25">
      <c r="A1283" s="34">
        <f t="shared" si="308"/>
        <v>1275</v>
      </c>
      <c r="B1283" s="35" t="e">
        <f t="shared" si="308"/>
        <v>#REF!</v>
      </c>
      <c r="C1283" s="42" t="s">
        <v>348</v>
      </c>
      <c r="D1283" s="43">
        <v>25</v>
      </c>
      <c r="E1283" s="43">
        <v>2</v>
      </c>
      <c r="F1283" s="36">
        <v>0.1158</v>
      </c>
      <c r="G1283" s="36">
        <v>2.2812599999999999E-2</v>
      </c>
      <c r="H1283" s="36">
        <v>0</v>
      </c>
      <c r="I1283" s="37">
        <v>0</v>
      </c>
      <c r="J1283" s="32">
        <f t="shared" si="298"/>
        <v>0</v>
      </c>
      <c r="K1283" s="33">
        <f t="shared" si="301"/>
        <v>0</v>
      </c>
      <c r="L1283" s="33"/>
      <c r="O1283" s="2">
        <f t="shared" si="303"/>
        <v>0</v>
      </c>
      <c r="P1283" s="2">
        <f t="shared" si="304"/>
        <v>0</v>
      </c>
      <c r="Q1283" s="7">
        <f t="shared" si="305"/>
        <v>0</v>
      </c>
      <c r="R1283" s="2">
        <v>1.2</v>
      </c>
      <c r="S1283" s="2">
        <f t="shared" si="299"/>
        <v>4.45</v>
      </c>
      <c r="T1283" s="2"/>
      <c r="U1283" s="2"/>
      <c r="Y1283" s="8">
        <f t="shared" si="300"/>
        <v>0</v>
      </c>
    </row>
    <row r="1284" spans="1:25" x14ac:dyDescent="0.25">
      <c r="A1284" s="34">
        <f t="shared" si="308"/>
        <v>1276</v>
      </c>
      <c r="B1284" s="35" t="e">
        <f t="shared" si="308"/>
        <v>#REF!</v>
      </c>
      <c r="C1284" s="42" t="s">
        <v>348</v>
      </c>
      <c r="D1284" s="43" t="s">
        <v>349</v>
      </c>
      <c r="E1284" s="43"/>
      <c r="F1284" s="36">
        <v>5.9400000000000001E-2</v>
      </c>
      <c r="G1284" s="36">
        <v>1.17018E-2</v>
      </c>
      <c r="H1284" s="36">
        <v>1.03E-2</v>
      </c>
      <c r="I1284" s="37">
        <v>1.5449999999999999E-3</v>
      </c>
      <c r="J1284" s="32">
        <f t="shared" si="298"/>
        <v>2.29175E-2</v>
      </c>
      <c r="K1284" s="33">
        <f t="shared" si="301"/>
        <v>3.4376250000000001E-3</v>
      </c>
      <c r="L1284" s="33"/>
      <c r="O1284" s="2">
        <f t="shared" si="303"/>
        <v>4.2916666666666667E-3</v>
      </c>
      <c r="P1284" s="2">
        <f t="shared" si="304"/>
        <v>3.0900000000000003</v>
      </c>
      <c r="Q1284" s="7">
        <f t="shared" si="305"/>
        <v>13.994565217391306</v>
      </c>
      <c r="R1284" s="2">
        <v>1.2</v>
      </c>
      <c r="S1284" s="2">
        <f t="shared" si="299"/>
        <v>4.45</v>
      </c>
      <c r="T1284" s="2"/>
      <c r="U1284" s="2"/>
      <c r="Y1284" s="8">
        <f t="shared" si="300"/>
        <v>0.49820652173913049</v>
      </c>
    </row>
    <row r="1285" spans="1:25" x14ac:dyDescent="0.25">
      <c r="A1285" s="34">
        <f t="shared" si="308"/>
        <v>1277</v>
      </c>
      <c r="B1285" s="35" t="e">
        <f t="shared" si="308"/>
        <v>#REF!</v>
      </c>
      <c r="C1285" s="42" t="s">
        <v>348</v>
      </c>
      <c r="D1285" s="43" t="s">
        <v>350</v>
      </c>
      <c r="E1285" s="43"/>
      <c r="F1285" s="36">
        <v>0.1527</v>
      </c>
      <c r="G1285" s="36">
        <v>3.0081900000000002E-2</v>
      </c>
      <c r="H1285" s="36">
        <v>7.0599999999999996E-2</v>
      </c>
      <c r="I1285" s="37">
        <v>1.059E-2</v>
      </c>
      <c r="J1285" s="32">
        <f t="shared" si="298"/>
        <v>0.157085</v>
      </c>
      <c r="K1285" s="33">
        <f t="shared" si="301"/>
        <v>2.356275E-2</v>
      </c>
      <c r="L1285" s="33"/>
      <c r="O1285" s="2">
        <f t="shared" si="303"/>
        <v>2.9416666666666667E-2</v>
      </c>
      <c r="P1285" s="2">
        <f t="shared" si="304"/>
        <v>21.18</v>
      </c>
      <c r="Q1285" s="7">
        <f t="shared" si="305"/>
        <v>95.923913043478265</v>
      </c>
      <c r="R1285" s="2">
        <v>1.2</v>
      </c>
      <c r="S1285" s="2">
        <f t="shared" si="299"/>
        <v>4.45</v>
      </c>
      <c r="T1285" s="2"/>
      <c r="U1285" s="2"/>
      <c r="Y1285" s="8">
        <f t="shared" si="300"/>
        <v>3.4148913043478264</v>
      </c>
    </row>
    <row r="1286" spans="1:25" x14ac:dyDescent="0.25">
      <c r="A1286" s="34">
        <f t="shared" si="308"/>
        <v>1278</v>
      </c>
      <c r="B1286" s="35" t="e">
        <f t="shared" si="308"/>
        <v>#REF!</v>
      </c>
      <c r="C1286" s="42" t="s">
        <v>348</v>
      </c>
      <c r="D1286" s="43">
        <v>37</v>
      </c>
      <c r="E1286" s="43"/>
      <c r="F1286" s="36">
        <v>0.1013</v>
      </c>
      <c r="G1286" s="36">
        <v>1.9956100000000001E-2</v>
      </c>
      <c r="H1286" s="36">
        <v>3.5299999999999998E-2</v>
      </c>
      <c r="I1286" s="37">
        <v>5.2950000000000002E-3</v>
      </c>
      <c r="J1286" s="32">
        <f t="shared" si="298"/>
        <v>7.8542500000000001E-2</v>
      </c>
      <c r="K1286" s="33">
        <f t="shared" si="301"/>
        <v>1.1781375E-2</v>
      </c>
      <c r="L1286" s="33"/>
      <c r="O1286" s="2">
        <f t="shared" si="303"/>
        <v>1.4708333333333334E-2</v>
      </c>
      <c r="P1286" s="2">
        <f t="shared" si="304"/>
        <v>10.59</v>
      </c>
      <c r="Q1286" s="7">
        <f t="shared" si="305"/>
        <v>47.961956521739133</v>
      </c>
      <c r="R1286" s="2">
        <v>1.2</v>
      </c>
      <c r="S1286" s="2">
        <f t="shared" si="299"/>
        <v>4.45</v>
      </c>
      <c r="T1286" s="2"/>
      <c r="U1286" s="2"/>
      <c r="Y1286" s="8">
        <f t="shared" si="300"/>
        <v>1.7074456521739132</v>
      </c>
    </row>
    <row r="1287" spans="1:25" x14ac:dyDescent="0.25">
      <c r="A1287" s="34">
        <f t="shared" si="308"/>
        <v>1279</v>
      </c>
      <c r="B1287" s="35" t="e">
        <f t="shared" si="308"/>
        <v>#REF!</v>
      </c>
      <c r="C1287" s="42" t="s">
        <v>348</v>
      </c>
      <c r="D1287" s="43">
        <v>39</v>
      </c>
      <c r="E1287" s="43"/>
      <c r="F1287" s="36">
        <v>9.7000000000000003E-2</v>
      </c>
      <c r="G1287" s="36">
        <v>1.9109000000000001E-2</v>
      </c>
      <c r="H1287" s="36">
        <v>3.3099999999999997E-2</v>
      </c>
      <c r="I1287" s="37">
        <v>4.9649999999999998E-3</v>
      </c>
      <c r="J1287" s="32">
        <f t="shared" si="298"/>
        <v>7.3647499999999991E-2</v>
      </c>
      <c r="K1287" s="33">
        <f t="shared" si="301"/>
        <v>1.1047124999999998E-2</v>
      </c>
      <c r="L1287" s="33"/>
      <c r="O1287" s="2">
        <f t="shared" si="303"/>
        <v>1.3791666666666666E-2</v>
      </c>
      <c r="P1287" s="2">
        <f t="shared" si="304"/>
        <v>9.93</v>
      </c>
      <c r="Q1287" s="7">
        <f t="shared" si="305"/>
        <v>44.972826086956523</v>
      </c>
      <c r="R1287" s="2">
        <v>1.2</v>
      </c>
      <c r="S1287" s="2">
        <f t="shared" si="299"/>
        <v>4.45</v>
      </c>
      <c r="T1287" s="2"/>
      <c r="U1287" s="2"/>
      <c r="Y1287" s="8">
        <f t="shared" si="300"/>
        <v>1.6010326086956519</v>
      </c>
    </row>
    <row r="1288" spans="1:25" x14ac:dyDescent="0.25">
      <c r="A1288" s="34">
        <f t="shared" si="308"/>
        <v>1280</v>
      </c>
      <c r="B1288" s="35" t="e">
        <f t="shared" si="308"/>
        <v>#REF!</v>
      </c>
      <c r="C1288" s="42" t="s">
        <v>348</v>
      </c>
      <c r="D1288" s="43">
        <v>51</v>
      </c>
      <c r="E1288" s="43"/>
      <c r="F1288" s="36">
        <v>0.01</v>
      </c>
      <c r="G1288" s="36">
        <v>1.97E-3</v>
      </c>
      <c r="H1288" s="36">
        <v>4.41E-2</v>
      </c>
      <c r="I1288" s="37">
        <v>6.6150000000000002E-3</v>
      </c>
      <c r="J1288" s="32">
        <f t="shared" si="298"/>
        <v>9.8122500000000015E-2</v>
      </c>
      <c r="K1288" s="33">
        <f t="shared" si="301"/>
        <v>1.4718375000000002E-2</v>
      </c>
      <c r="L1288" s="33"/>
      <c r="O1288" s="2">
        <f t="shared" si="303"/>
        <v>1.8375000000000002E-2</v>
      </c>
      <c r="P1288" s="2">
        <f t="shared" si="304"/>
        <v>13.230000000000002</v>
      </c>
      <c r="Q1288" s="7">
        <f t="shared" si="305"/>
        <v>59.918478260869577</v>
      </c>
      <c r="R1288" s="2">
        <v>1.2</v>
      </c>
      <c r="S1288" s="2">
        <f t="shared" si="299"/>
        <v>4.45</v>
      </c>
      <c r="T1288" s="2"/>
      <c r="U1288" s="2"/>
      <c r="Y1288" s="8">
        <f t="shared" si="300"/>
        <v>2.1330978260869569</v>
      </c>
    </row>
    <row r="1289" spans="1:25" x14ac:dyDescent="0.25">
      <c r="A1289" s="34">
        <f t="shared" si="308"/>
        <v>1281</v>
      </c>
      <c r="B1289" s="35" t="e">
        <f t="shared" si="308"/>
        <v>#REF!</v>
      </c>
      <c r="C1289" s="42" t="s">
        <v>348</v>
      </c>
      <c r="D1289" s="43">
        <v>54</v>
      </c>
      <c r="E1289" s="43"/>
      <c r="F1289" s="36">
        <v>9.8400000000000001E-2</v>
      </c>
      <c r="G1289" s="36">
        <v>1.9384800000000001E-2</v>
      </c>
      <c r="H1289" s="36">
        <v>3.4599999999999999E-2</v>
      </c>
      <c r="I1289" s="37">
        <v>5.1900000000000002E-3</v>
      </c>
      <c r="J1289" s="32">
        <f t="shared" ref="J1289:J1352" si="309">O1289*R1289*S1289</f>
        <v>7.6984999999999998E-2</v>
      </c>
      <c r="K1289" s="33">
        <f t="shared" si="301"/>
        <v>1.1547749999999999E-2</v>
      </c>
      <c r="L1289" s="33"/>
      <c r="O1289" s="2">
        <f t="shared" si="303"/>
        <v>1.4416666666666666E-2</v>
      </c>
      <c r="P1289" s="2">
        <f t="shared" si="304"/>
        <v>10.379999999999999</v>
      </c>
      <c r="Q1289" s="7">
        <f t="shared" si="305"/>
        <v>47.010869565217391</v>
      </c>
      <c r="R1289" s="2">
        <v>1.2</v>
      </c>
      <c r="S1289" s="2">
        <f t="shared" ref="S1289:S1352" si="310">IF(Q1289&lt;=$AE$6,$AF$6,IF(Q1289&lt;=$AE$7,$AF$7,IF(Q1289&lt;=$AE$8,$AF$8,IF(Q1289&lt;=$AE$9,$AF$9,IF(Q1289&lt;=$AE$10,$AF$10,0)))))</f>
        <v>4.45</v>
      </c>
      <c r="T1289" s="2"/>
      <c r="U1289" s="2"/>
      <c r="Y1289" s="8">
        <f t="shared" ref="Y1289:Y1352" si="311">J1289/46*1000</f>
        <v>1.6735869565217392</v>
      </c>
    </row>
    <row r="1290" spans="1:25" x14ac:dyDescent="0.25">
      <c r="A1290" s="34">
        <f t="shared" si="308"/>
        <v>1282</v>
      </c>
      <c r="B1290" s="35" t="e">
        <f t="shared" si="308"/>
        <v>#REF!</v>
      </c>
      <c r="C1290" s="42" t="s">
        <v>348</v>
      </c>
      <c r="D1290" s="43">
        <v>55</v>
      </c>
      <c r="E1290" s="43"/>
      <c r="F1290" s="36">
        <v>0.1268</v>
      </c>
      <c r="G1290" s="36">
        <v>2.4979600000000001E-2</v>
      </c>
      <c r="H1290" s="36">
        <v>3.9E-2</v>
      </c>
      <c r="I1290" s="37">
        <v>5.8500000000000002E-3</v>
      </c>
      <c r="J1290" s="32">
        <f t="shared" si="309"/>
        <v>8.6775000000000005E-2</v>
      </c>
      <c r="K1290" s="33">
        <f t="shared" ref="K1290:K1353" si="312">J1290*0.15</f>
        <v>1.301625E-2</v>
      </c>
      <c r="L1290" s="33"/>
      <c r="O1290" s="2">
        <f t="shared" si="303"/>
        <v>1.6250000000000001E-2</v>
      </c>
      <c r="P1290" s="2">
        <f t="shared" si="304"/>
        <v>11.700000000000001</v>
      </c>
      <c r="Q1290" s="7">
        <f t="shared" si="305"/>
        <v>52.989130434782616</v>
      </c>
      <c r="R1290" s="2">
        <v>1.2</v>
      </c>
      <c r="S1290" s="2">
        <f t="shared" si="310"/>
        <v>4.45</v>
      </c>
      <c r="T1290" s="2"/>
      <c r="U1290" s="2"/>
      <c r="Y1290" s="8">
        <f t="shared" si="311"/>
        <v>1.8864130434782609</v>
      </c>
    </row>
    <row r="1291" spans="1:25" x14ac:dyDescent="0.25">
      <c r="A1291" s="34">
        <f t="shared" ref="A1291:B1306" si="313">A1290+1</f>
        <v>1283</v>
      </c>
      <c r="B1291" s="35" t="e">
        <f t="shared" si="313"/>
        <v>#REF!</v>
      </c>
      <c r="C1291" s="42" t="s">
        <v>348</v>
      </c>
      <c r="D1291" s="43">
        <v>58</v>
      </c>
      <c r="E1291" s="43"/>
      <c r="F1291" s="36">
        <v>0.23580000000000001</v>
      </c>
      <c r="G1291" s="36">
        <v>4.6452599999999997E-2</v>
      </c>
      <c r="H1291" s="36">
        <v>0.11260000000000001</v>
      </c>
      <c r="I1291" s="37">
        <v>1.6889999999999999E-2</v>
      </c>
      <c r="J1291" s="32">
        <f t="shared" si="309"/>
        <v>0.20831000000000002</v>
      </c>
      <c r="K1291" s="33">
        <f t="shared" si="312"/>
        <v>3.1246500000000003E-2</v>
      </c>
      <c r="L1291" s="33"/>
      <c r="O1291" s="2">
        <f t="shared" ref="O1291:O1354" si="314">H1291/2.4</f>
        <v>4.6916666666666669E-2</v>
      </c>
      <c r="P1291" s="2">
        <f t="shared" ref="P1291:P1354" si="315">O1291*24*30</f>
        <v>33.78</v>
      </c>
      <c r="Q1291" s="7">
        <f t="shared" ref="Q1291:Q1354" si="316">P1291/0.2208</f>
        <v>152.98913043478262</v>
      </c>
      <c r="R1291" s="2">
        <v>1.2</v>
      </c>
      <c r="S1291" s="2">
        <f t="shared" si="310"/>
        <v>3.7</v>
      </c>
      <c r="T1291" s="2"/>
      <c r="U1291" s="2"/>
      <c r="Y1291" s="8">
        <f t="shared" si="311"/>
        <v>4.5284782608695657</v>
      </c>
    </row>
    <row r="1292" spans="1:25" x14ac:dyDescent="0.25">
      <c r="A1292" s="34">
        <f t="shared" si="313"/>
        <v>1284</v>
      </c>
      <c r="B1292" s="35" t="e">
        <f t="shared" si="313"/>
        <v>#REF!</v>
      </c>
      <c r="C1292" s="42" t="s">
        <v>348</v>
      </c>
      <c r="D1292" s="43">
        <v>59</v>
      </c>
      <c r="E1292" s="43"/>
      <c r="F1292" s="36">
        <v>0.1</v>
      </c>
      <c r="G1292" s="36">
        <v>1.9699999999999999E-2</v>
      </c>
      <c r="H1292" s="36">
        <v>3.7499999999999999E-2</v>
      </c>
      <c r="I1292" s="37">
        <v>5.6249999999999998E-3</v>
      </c>
      <c r="J1292" s="32">
        <f t="shared" si="309"/>
        <v>8.3437499999999998E-2</v>
      </c>
      <c r="K1292" s="33">
        <f t="shared" si="312"/>
        <v>1.2515624999999999E-2</v>
      </c>
      <c r="L1292" s="33"/>
      <c r="O1292" s="2">
        <f t="shared" si="314"/>
        <v>1.5625E-2</v>
      </c>
      <c r="P1292" s="2">
        <f t="shared" si="315"/>
        <v>11.25</v>
      </c>
      <c r="Q1292" s="7">
        <f t="shared" si="316"/>
        <v>50.951086956521742</v>
      </c>
      <c r="R1292" s="2">
        <v>1.2</v>
      </c>
      <c r="S1292" s="2">
        <f t="shared" si="310"/>
        <v>4.45</v>
      </c>
      <c r="T1292" s="2"/>
      <c r="U1292" s="2"/>
      <c r="Y1292" s="8">
        <f t="shared" si="311"/>
        <v>1.8138586956521738</v>
      </c>
    </row>
    <row r="1293" spans="1:25" x14ac:dyDescent="0.25">
      <c r="A1293" s="34">
        <f t="shared" si="313"/>
        <v>1285</v>
      </c>
      <c r="B1293" s="35" t="e">
        <f t="shared" si="313"/>
        <v>#REF!</v>
      </c>
      <c r="C1293" s="42" t="s">
        <v>348</v>
      </c>
      <c r="D1293" s="43">
        <v>61</v>
      </c>
      <c r="E1293" s="43"/>
      <c r="F1293" s="36">
        <v>0.23530000000000001</v>
      </c>
      <c r="G1293" s="36">
        <v>4.6354100000000002E-2</v>
      </c>
      <c r="H1293" s="36">
        <v>0.1074</v>
      </c>
      <c r="I1293" s="37">
        <v>1.6109999999999999E-2</v>
      </c>
      <c r="J1293" s="32">
        <f t="shared" si="309"/>
        <v>0.23896500000000001</v>
      </c>
      <c r="K1293" s="33">
        <f t="shared" si="312"/>
        <v>3.5844750000000002E-2</v>
      </c>
      <c r="L1293" s="33"/>
      <c r="O1293" s="2">
        <f t="shared" si="314"/>
        <v>4.4749999999999998E-2</v>
      </c>
      <c r="P1293" s="2">
        <f t="shared" si="315"/>
        <v>32.22</v>
      </c>
      <c r="Q1293" s="7">
        <f t="shared" si="316"/>
        <v>145.92391304347825</v>
      </c>
      <c r="R1293" s="2">
        <v>1.2</v>
      </c>
      <c r="S1293" s="2">
        <f t="shared" si="310"/>
        <v>4.45</v>
      </c>
      <c r="T1293" s="2"/>
      <c r="U1293" s="2"/>
      <c r="Y1293" s="8">
        <f t="shared" si="311"/>
        <v>5.1948913043478262</v>
      </c>
    </row>
    <row r="1294" spans="1:25" x14ac:dyDescent="0.25">
      <c r="A1294" s="34">
        <f t="shared" si="313"/>
        <v>1286</v>
      </c>
      <c r="B1294" s="35" t="e">
        <f t="shared" si="313"/>
        <v>#REF!</v>
      </c>
      <c r="C1294" s="42" t="s">
        <v>348</v>
      </c>
      <c r="D1294" s="43">
        <v>62</v>
      </c>
      <c r="E1294" s="43"/>
      <c r="F1294" s="36">
        <v>0.1072</v>
      </c>
      <c r="G1294" s="36">
        <v>2.1118399999999999E-2</v>
      </c>
      <c r="H1294" s="36">
        <v>3.6799999999999999E-2</v>
      </c>
      <c r="I1294" s="37">
        <v>5.5199999999999997E-3</v>
      </c>
      <c r="J1294" s="32">
        <f t="shared" si="309"/>
        <v>8.1880000000000008E-2</v>
      </c>
      <c r="K1294" s="33">
        <f t="shared" si="312"/>
        <v>1.2282000000000001E-2</v>
      </c>
      <c r="L1294" s="33"/>
      <c r="O1294" s="2">
        <f t="shared" si="314"/>
        <v>1.5333333333333334E-2</v>
      </c>
      <c r="P1294" s="2">
        <f t="shared" si="315"/>
        <v>11.04</v>
      </c>
      <c r="Q1294" s="7">
        <f t="shared" si="316"/>
        <v>50</v>
      </c>
      <c r="R1294" s="2">
        <v>1.2</v>
      </c>
      <c r="S1294" s="2">
        <f t="shared" si="310"/>
        <v>4.45</v>
      </c>
      <c r="T1294" s="2"/>
      <c r="U1294" s="2"/>
      <c r="Y1294" s="8">
        <f t="shared" si="311"/>
        <v>1.78</v>
      </c>
    </row>
    <row r="1295" spans="1:25" x14ac:dyDescent="0.25">
      <c r="A1295" s="34">
        <f t="shared" si="313"/>
        <v>1287</v>
      </c>
      <c r="B1295" s="35" t="e">
        <f t="shared" si="313"/>
        <v>#REF!</v>
      </c>
      <c r="C1295" s="42" t="s">
        <v>348</v>
      </c>
      <c r="D1295" s="43">
        <v>63</v>
      </c>
      <c r="E1295" s="43"/>
      <c r="F1295" s="36">
        <v>0.37259999999999999</v>
      </c>
      <c r="G1295" s="36">
        <v>7.3402200000000001E-2</v>
      </c>
      <c r="H1295" s="36">
        <v>0.1449</v>
      </c>
      <c r="I1295" s="37">
        <v>2.1735000000000001E-2</v>
      </c>
      <c r="J1295" s="32">
        <f t="shared" si="309"/>
        <v>0.268065</v>
      </c>
      <c r="K1295" s="33">
        <f t="shared" si="312"/>
        <v>4.0209749999999995E-2</v>
      </c>
      <c r="L1295" s="33"/>
      <c r="O1295" s="2">
        <f t="shared" si="314"/>
        <v>6.0375000000000005E-2</v>
      </c>
      <c r="P1295" s="2">
        <f t="shared" si="315"/>
        <v>43.47</v>
      </c>
      <c r="Q1295" s="7">
        <f t="shared" si="316"/>
        <v>196.875</v>
      </c>
      <c r="R1295" s="2">
        <v>1.2</v>
      </c>
      <c r="S1295" s="2">
        <f t="shared" si="310"/>
        <v>3.7</v>
      </c>
      <c r="T1295" s="2"/>
      <c r="U1295" s="2"/>
      <c r="Y1295" s="8">
        <f t="shared" si="311"/>
        <v>5.8275000000000006</v>
      </c>
    </row>
    <row r="1296" spans="1:25" x14ac:dyDescent="0.25">
      <c r="A1296" s="34">
        <f t="shared" si="313"/>
        <v>1288</v>
      </c>
      <c r="B1296" s="35" t="e">
        <f t="shared" si="313"/>
        <v>#REF!</v>
      </c>
      <c r="C1296" s="42" t="s">
        <v>348</v>
      </c>
      <c r="D1296" s="43">
        <v>64</v>
      </c>
      <c r="E1296" s="43"/>
      <c r="F1296" s="36">
        <v>9.4E-2</v>
      </c>
      <c r="G1296" s="36">
        <v>1.8518E-2</v>
      </c>
      <c r="H1296" s="36">
        <v>5.7099999999999998E-2</v>
      </c>
      <c r="I1296" s="37">
        <v>8.5649999999999997E-3</v>
      </c>
      <c r="J1296" s="32">
        <f t="shared" si="309"/>
        <v>0.12704750000000001</v>
      </c>
      <c r="K1296" s="33">
        <f t="shared" si="312"/>
        <v>1.9057125000000001E-2</v>
      </c>
      <c r="L1296" s="33"/>
      <c r="O1296" s="2">
        <f t="shared" si="314"/>
        <v>2.3791666666666666E-2</v>
      </c>
      <c r="P1296" s="2">
        <f t="shared" si="315"/>
        <v>17.13</v>
      </c>
      <c r="Q1296" s="7">
        <f t="shared" si="316"/>
        <v>77.581521739130437</v>
      </c>
      <c r="R1296" s="2">
        <v>1.2</v>
      </c>
      <c r="S1296" s="2">
        <f t="shared" si="310"/>
        <v>4.45</v>
      </c>
      <c r="T1296" s="2"/>
      <c r="U1296" s="2"/>
      <c r="Y1296" s="8">
        <f t="shared" si="311"/>
        <v>2.7619021739130436</v>
      </c>
    </row>
    <row r="1297" spans="1:25" x14ac:dyDescent="0.25">
      <c r="A1297" s="34">
        <f t="shared" si="313"/>
        <v>1289</v>
      </c>
      <c r="B1297" s="35" t="e">
        <f t="shared" si="313"/>
        <v>#REF!</v>
      </c>
      <c r="C1297" s="42" t="s">
        <v>348</v>
      </c>
      <c r="D1297" s="43">
        <v>65</v>
      </c>
      <c r="E1297" s="43"/>
      <c r="F1297" s="36">
        <v>0.1177</v>
      </c>
      <c r="G1297" s="36">
        <v>2.31869E-2</v>
      </c>
      <c r="H1297" s="36">
        <v>6.6600000000000006E-2</v>
      </c>
      <c r="I1297" s="37">
        <v>9.9900000000000006E-3</v>
      </c>
      <c r="J1297" s="32">
        <f t="shared" si="309"/>
        <v>0.14818500000000001</v>
      </c>
      <c r="K1297" s="33">
        <f t="shared" si="312"/>
        <v>2.2227750000000001E-2</v>
      </c>
      <c r="L1297" s="33"/>
      <c r="O1297" s="2">
        <f t="shared" si="314"/>
        <v>2.7750000000000004E-2</v>
      </c>
      <c r="P1297" s="2">
        <f t="shared" si="315"/>
        <v>19.980000000000004</v>
      </c>
      <c r="Q1297" s="7">
        <f t="shared" si="316"/>
        <v>90.489130434782624</v>
      </c>
      <c r="R1297" s="2">
        <v>1.2</v>
      </c>
      <c r="S1297" s="2">
        <f t="shared" si="310"/>
        <v>4.45</v>
      </c>
      <c r="T1297" s="2"/>
      <c r="U1297" s="2"/>
      <c r="Y1297" s="8">
        <f t="shared" si="311"/>
        <v>3.2214130434782611</v>
      </c>
    </row>
    <row r="1298" spans="1:25" x14ac:dyDescent="0.25">
      <c r="A1298" s="34">
        <f t="shared" si="313"/>
        <v>1290</v>
      </c>
      <c r="B1298" s="35" t="e">
        <f t="shared" si="313"/>
        <v>#REF!</v>
      </c>
      <c r="C1298" s="42" t="s">
        <v>348</v>
      </c>
      <c r="D1298" s="43">
        <v>67</v>
      </c>
      <c r="E1298" s="43"/>
      <c r="F1298" s="36">
        <v>0.16470000000000001</v>
      </c>
      <c r="G1298" s="36">
        <v>3.24459E-2</v>
      </c>
      <c r="H1298" s="36">
        <v>9.4899999999999998E-2</v>
      </c>
      <c r="I1298" s="37">
        <v>1.4234999999999999E-2</v>
      </c>
      <c r="J1298" s="32">
        <f t="shared" si="309"/>
        <v>0.21115249999999999</v>
      </c>
      <c r="K1298" s="33">
        <f t="shared" si="312"/>
        <v>3.1672874999999996E-2</v>
      </c>
      <c r="L1298" s="33"/>
      <c r="O1298" s="2">
        <f t="shared" si="314"/>
        <v>3.9541666666666669E-2</v>
      </c>
      <c r="P1298" s="2">
        <f t="shared" si="315"/>
        <v>28.470000000000002</v>
      </c>
      <c r="Q1298" s="7">
        <f t="shared" si="316"/>
        <v>128.94021739130437</v>
      </c>
      <c r="R1298" s="2">
        <v>1.2</v>
      </c>
      <c r="S1298" s="2">
        <f t="shared" si="310"/>
        <v>4.45</v>
      </c>
      <c r="T1298" s="2"/>
      <c r="U1298" s="2"/>
      <c r="Y1298" s="8">
        <f t="shared" si="311"/>
        <v>4.5902717391304346</v>
      </c>
    </row>
    <row r="1299" spans="1:25" x14ac:dyDescent="0.25">
      <c r="A1299" s="34">
        <f t="shared" si="313"/>
        <v>1291</v>
      </c>
      <c r="B1299" s="35" t="e">
        <f t="shared" si="313"/>
        <v>#REF!</v>
      </c>
      <c r="C1299" s="42" t="s">
        <v>348</v>
      </c>
      <c r="D1299" s="43">
        <v>68</v>
      </c>
      <c r="E1299" s="43"/>
      <c r="F1299" s="36">
        <v>0.3725</v>
      </c>
      <c r="G1299" s="36">
        <v>7.3382500000000003E-2</v>
      </c>
      <c r="H1299" s="36">
        <v>0.161</v>
      </c>
      <c r="I1299" s="37">
        <v>2.4150000000000001E-2</v>
      </c>
      <c r="J1299" s="32">
        <f t="shared" si="309"/>
        <v>0.29785</v>
      </c>
      <c r="K1299" s="33">
        <f t="shared" si="312"/>
        <v>4.4677500000000002E-2</v>
      </c>
      <c r="L1299" s="33"/>
      <c r="O1299" s="2">
        <f t="shared" si="314"/>
        <v>6.7083333333333342E-2</v>
      </c>
      <c r="P1299" s="2">
        <f t="shared" si="315"/>
        <v>48.300000000000011</v>
      </c>
      <c r="Q1299" s="7">
        <f t="shared" si="316"/>
        <v>218.75000000000006</v>
      </c>
      <c r="R1299" s="2">
        <v>1.2</v>
      </c>
      <c r="S1299" s="2">
        <f t="shared" si="310"/>
        <v>3.7</v>
      </c>
      <c r="T1299" s="2"/>
      <c r="U1299" s="2"/>
      <c r="Y1299" s="8">
        <f t="shared" si="311"/>
        <v>6.4749999999999996</v>
      </c>
    </row>
    <row r="1300" spans="1:25" x14ac:dyDescent="0.25">
      <c r="A1300" s="34">
        <f t="shared" si="313"/>
        <v>1292</v>
      </c>
      <c r="B1300" s="35" t="e">
        <f t="shared" si="313"/>
        <v>#REF!</v>
      </c>
      <c r="C1300" s="42" t="s">
        <v>348</v>
      </c>
      <c r="D1300" s="43">
        <v>70</v>
      </c>
      <c r="E1300" s="43"/>
      <c r="F1300" s="36">
        <v>0.15820000000000001</v>
      </c>
      <c r="G1300" s="36">
        <v>3.1165399999999999E-2</v>
      </c>
      <c r="H1300" s="36">
        <v>7.8E-2</v>
      </c>
      <c r="I1300" s="37">
        <v>1.17E-2</v>
      </c>
      <c r="J1300" s="32">
        <f t="shared" si="309"/>
        <v>0.17355000000000001</v>
      </c>
      <c r="K1300" s="33">
        <f t="shared" si="312"/>
        <v>2.60325E-2</v>
      </c>
      <c r="L1300" s="33"/>
      <c r="O1300" s="2">
        <f t="shared" si="314"/>
        <v>3.2500000000000001E-2</v>
      </c>
      <c r="P1300" s="2">
        <f t="shared" si="315"/>
        <v>23.400000000000002</v>
      </c>
      <c r="Q1300" s="7">
        <f t="shared" si="316"/>
        <v>105.97826086956523</v>
      </c>
      <c r="R1300" s="2">
        <v>1.2</v>
      </c>
      <c r="S1300" s="2">
        <f t="shared" si="310"/>
        <v>4.45</v>
      </c>
      <c r="T1300" s="2"/>
      <c r="U1300" s="2"/>
      <c r="Y1300" s="8">
        <f t="shared" si="311"/>
        <v>3.7728260869565218</v>
      </c>
    </row>
    <row r="1301" spans="1:25" x14ac:dyDescent="0.25">
      <c r="A1301" s="34">
        <f t="shared" si="313"/>
        <v>1293</v>
      </c>
      <c r="B1301" s="35" t="e">
        <f t="shared" si="313"/>
        <v>#REF!</v>
      </c>
      <c r="C1301" s="42" t="s">
        <v>348</v>
      </c>
      <c r="D1301" s="43">
        <v>71</v>
      </c>
      <c r="E1301" s="43"/>
      <c r="F1301" s="36">
        <v>0.16400000000000001</v>
      </c>
      <c r="G1301" s="36">
        <v>3.2308000000000003E-2</v>
      </c>
      <c r="H1301" s="36">
        <v>5.1499999999999997E-2</v>
      </c>
      <c r="I1301" s="37">
        <v>7.7250000000000001E-3</v>
      </c>
      <c r="J1301" s="32">
        <f t="shared" si="309"/>
        <v>0.11458749999999999</v>
      </c>
      <c r="K1301" s="33">
        <f t="shared" si="312"/>
        <v>1.7188124999999999E-2</v>
      </c>
      <c r="L1301" s="33"/>
      <c r="O1301" s="2">
        <f t="shared" si="314"/>
        <v>2.1458333333333333E-2</v>
      </c>
      <c r="P1301" s="2">
        <f t="shared" si="315"/>
        <v>15.450000000000001</v>
      </c>
      <c r="Q1301" s="7">
        <f t="shared" si="316"/>
        <v>69.97282608695653</v>
      </c>
      <c r="R1301" s="2">
        <v>1.2</v>
      </c>
      <c r="S1301" s="2">
        <f t="shared" si="310"/>
        <v>4.45</v>
      </c>
      <c r="T1301" s="2"/>
      <c r="U1301" s="2"/>
      <c r="Y1301" s="8">
        <f t="shared" si="311"/>
        <v>2.4910326086956522</v>
      </c>
    </row>
    <row r="1302" spans="1:25" x14ac:dyDescent="0.25">
      <c r="A1302" s="34">
        <f t="shared" si="313"/>
        <v>1294</v>
      </c>
      <c r="B1302" s="35" t="e">
        <f t="shared" si="313"/>
        <v>#REF!</v>
      </c>
      <c r="C1302" s="42" t="s">
        <v>348</v>
      </c>
      <c r="D1302" s="43">
        <v>74</v>
      </c>
      <c r="E1302" s="43"/>
      <c r="F1302" s="36">
        <v>9.7900000000000001E-2</v>
      </c>
      <c r="G1302" s="36">
        <v>1.9286299999999999E-2</v>
      </c>
      <c r="H1302" s="36">
        <v>3.6799999999999999E-2</v>
      </c>
      <c r="I1302" s="37">
        <v>5.5199999999999997E-3</v>
      </c>
      <c r="J1302" s="32">
        <f t="shared" si="309"/>
        <v>8.1880000000000008E-2</v>
      </c>
      <c r="K1302" s="33">
        <f t="shared" si="312"/>
        <v>1.2282000000000001E-2</v>
      </c>
      <c r="L1302" s="33"/>
      <c r="O1302" s="2">
        <f t="shared" si="314"/>
        <v>1.5333333333333334E-2</v>
      </c>
      <c r="P1302" s="2">
        <f t="shared" si="315"/>
        <v>11.04</v>
      </c>
      <c r="Q1302" s="7">
        <f t="shared" si="316"/>
        <v>50</v>
      </c>
      <c r="R1302" s="2">
        <v>1.2</v>
      </c>
      <c r="S1302" s="2">
        <f t="shared" si="310"/>
        <v>4.45</v>
      </c>
      <c r="T1302" s="2"/>
      <c r="U1302" s="2"/>
      <c r="Y1302" s="8">
        <f t="shared" si="311"/>
        <v>1.78</v>
      </c>
    </row>
    <row r="1303" spans="1:25" x14ac:dyDescent="0.25">
      <c r="A1303" s="34">
        <f t="shared" si="313"/>
        <v>1295</v>
      </c>
      <c r="B1303" s="35" t="e">
        <f t="shared" si="313"/>
        <v>#REF!</v>
      </c>
      <c r="C1303" s="42" t="s">
        <v>348</v>
      </c>
      <c r="D1303" s="43">
        <v>75</v>
      </c>
      <c r="E1303" s="43"/>
      <c r="F1303" s="36">
        <v>0.23080000000000001</v>
      </c>
      <c r="G1303" s="36">
        <v>4.5467599999999997E-2</v>
      </c>
      <c r="H1303" s="36">
        <v>7.8E-2</v>
      </c>
      <c r="I1303" s="37">
        <v>1.17E-2</v>
      </c>
      <c r="J1303" s="32">
        <f t="shared" si="309"/>
        <v>0.17355000000000001</v>
      </c>
      <c r="K1303" s="33">
        <f t="shared" si="312"/>
        <v>2.60325E-2</v>
      </c>
      <c r="L1303" s="33"/>
      <c r="O1303" s="2">
        <f t="shared" si="314"/>
        <v>3.2500000000000001E-2</v>
      </c>
      <c r="P1303" s="2">
        <f t="shared" si="315"/>
        <v>23.400000000000002</v>
      </c>
      <c r="Q1303" s="7">
        <f t="shared" si="316"/>
        <v>105.97826086956523</v>
      </c>
      <c r="R1303" s="2">
        <v>1.2</v>
      </c>
      <c r="S1303" s="2">
        <f t="shared" si="310"/>
        <v>4.45</v>
      </c>
      <c r="T1303" s="2"/>
      <c r="U1303" s="2"/>
      <c r="Y1303" s="8">
        <f t="shared" si="311"/>
        <v>3.7728260869565218</v>
      </c>
    </row>
    <row r="1304" spans="1:25" x14ac:dyDescent="0.25">
      <c r="A1304" s="34">
        <f t="shared" si="313"/>
        <v>1296</v>
      </c>
      <c r="B1304" s="35" t="e">
        <f t="shared" si="313"/>
        <v>#REF!</v>
      </c>
      <c r="C1304" s="42" t="s">
        <v>348</v>
      </c>
      <c r="D1304" s="43">
        <v>76</v>
      </c>
      <c r="E1304" s="43"/>
      <c r="F1304" s="36">
        <v>0.17499999999999999</v>
      </c>
      <c r="G1304" s="36">
        <v>3.4474999999999999E-2</v>
      </c>
      <c r="H1304" s="36">
        <v>8.5300000000000001E-2</v>
      </c>
      <c r="I1304" s="37">
        <v>1.2795000000000001E-2</v>
      </c>
      <c r="J1304" s="32">
        <f t="shared" si="309"/>
        <v>0.1897925</v>
      </c>
      <c r="K1304" s="33">
        <f t="shared" si="312"/>
        <v>2.8468874999999998E-2</v>
      </c>
      <c r="L1304" s="33"/>
      <c r="O1304" s="2">
        <f t="shared" si="314"/>
        <v>3.5541666666666666E-2</v>
      </c>
      <c r="P1304" s="2">
        <f t="shared" si="315"/>
        <v>25.59</v>
      </c>
      <c r="Q1304" s="7">
        <f t="shared" si="316"/>
        <v>115.89673913043478</v>
      </c>
      <c r="R1304" s="2">
        <v>1.2</v>
      </c>
      <c r="S1304" s="2">
        <f t="shared" si="310"/>
        <v>4.45</v>
      </c>
      <c r="T1304" s="2"/>
      <c r="U1304" s="2"/>
      <c r="Y1304" s="8">
        <f t="shared" si="311"/>
        <v>4.1259239130434784</v>
      </c>
    </row>
    <row r="1305" spans="1:25" x14ac:dyDescent="0.25">
      <c r="A1305" s="34">
        <f t="shared" si="313"/>
        <v>1297</v>
      </c>
      <c r="B1305" s="35" t="e">
        <f t="shared" si="313"/>
        <v>#REF!</v>
      </c>
      <c r="C1305" s="42" t="s">
        <v>348</v>
      </c>
      <c r="D1305" s="43">
        <v>77</v>
      </c>
      <c r="E1305" s="43"/>
      <c r="F1305" s="36">
        <v>0.1017</v>
      </c>
      <c r="G1305" s="36">
        <v>2.0034900000000001E-2</v>
      </c>
      <c r="H1305" s="36">
        <v>4.19E-2</v>
      </c>
      <c r="I1305" s="37">
        <v>6.2849999999999998E-3</v>
      </c>
      <c r="J1305" s="32">
        <f t="shared" si="309"/>
        <v>9.3227500000000005E-2</v>
      </c>
      <c r="K1305" s="33">
        <f t="shared" si="312"/>
        <v>1.3984125E-2</v>
      </c>
      <c r="L1305" s="33"/>
      <c r="O1305" s="2">
        <f t="shared" si="314"/>
        <v>1.7458333333333333E-2</v>
      </c>
      <c r="P1305" s="2">
        <f t="shared" si="315"/>
        <v>12.57</v>
      </c>
      <c r="Q1305" s="7">
        <f t="shared" si="316"/>
        <v>56.929347826086961</v>
      </c>
      <c r="R1305" s="2">
        <v>1.2</v>
      </c>
      <c r="S1305" s="2">
        <f t="shared" si="310"/>
        <v>4.45</v>
      </c>
      <c r="T1305" s="2"/>
      <c r="U1305" s="2"/>
      <c r="Y1305" s="8">
        <f t="shared" si="311"/>
        <v>2.0266847826086956</v>
      </c>
    </row>
    <row r="1306" spans="1:25" x14ac:dyDescent="0.25">
      <c r="A1306" s="34">
        <f t="shared" si="313"/>
        <v>1298</v>
      </c>
      <c r="B1306" s="35" t="e">
        <f t="shared" si="313"/>
        <v>#REF!</v>
      </c>
      <c r="C1306" s="42" t="s">
        <v>348</v>
      </c>
      <c r="D1306" s="43">
        <v>78</v>
      </c>
      <c r="E1306" s="43"/>
      <c r="F1306" s="36">
        <v>0.15640000000000001</v>
      </c>
      <c r="G1306" s="36">
        <v>3.0810799999999999E-2</v>
      </c>
      <c r="H1306" s="36">
        <v>6.9900000000000004E-2</v>
      </c>
      <c r="I1306" s="37">
        <v>1.0485E-2</v>
      </c>
      <c r="J1306" s="32">
        <f t="shared" si="309"/>
        <v>0.15552750000000001</v>
      </c>
      <c r="K1306" s="33">
        <f t="shared" si="312"/>
        <v>2.3329125000000003E-2</v>
      </c>
      <c r="L1306" s="33"/>
      <c r="O1306" s="2">
        <f t="shared" si="314"/>
        <v>2.9125000000000002E-2</v>
      </c>
      <c r="P1306" s="2">
        <f t="shared" si="315"/>
        <v>20.970000000000002</v>
      </c>
      <c r="Q1306" s="7">
        <f t="shared" si="316"/>
        <v>94.97282608695653</v>
      </c>
      <c r="R1306" s="2">
        <v>1.2</v>
      </c>
      <c r="S1306" s="2">
        <f t="shared" si="310"/>
        <v>4.45</v>
      </c>
      <c r="T1306" s="2"/>
      <c r="U1306" s="2"/>
      <c r="Y1306" s="8">
        <f t="shared" si="311"/>
        <v>3.3810326086956524</v>
      </c>
    </row>
    <row r="1307" spans="1:25" x14ac:dyDescent="0.25">
      <c r="A1307" s="34">
        <f t="shared" ref="A1307:B1322" si="317">A1306+1</f>
        <v>1299</v>
      </c>
      <c r="B1307" s="35" t="e">
        <f t="shared" si="317"/>
        <v>#REF!</v>
      </c>
      <c r="C1307" s="42" t="s">
        <v>348</v>
      </c>
      <c r="D1307" s="43">
        <v>79</v>
      </c>
      <c r="E1307" s="43"/>
      <c r="F1307" s="36">
        <v>0.10970000000000001</v>
      </c>
      <c r="G1307" s="36">
        <v>2.1610899999999999E-2</v>
      </c>
      <c r="H1307" s="36">
        <v>2.7199999999999998E-2</v>
      </c>
      <c r="I1307" s="37">
        <v>4.0800000000000003E-3</v>
      </c>
      <c r="J1307" s="32">
        <f t="shared" si="309"/>
        <v>6.0519999999999997E-2</v>
      </c>
      <c r="K1307" s="33">
        <f t="shared" si="312"/>
        <v>9.0779999999999993E-3</v>
      </c>
      <c r="L1307" s="33"/>
      <c r="O1307" s="2">
        <f t="shared" si="314"/>
        <v>1.1333333333333332E-2</v>
      </c>
      <c r="P1307" s="2">
        <f t="shared" si="315"/>
        <v>8.1599999999999984</v>
      </c>
      <c r="Q1307" s="7">
        <f t="shared" si="316"/>
        <v>36.95652173913043</v>
      </c>
      <c r="R1307" s="2">
        <v>1.2</v>
      </c>
      <c r="S1307" s="2">
        <f t="shared" si="310"/>
        <v>4.45</v>
      </c>
      <c r="T1307" s="2"/>
      <c r="U1307" s="2"/>
      <c r="Y1307" s="8">
        <f t="shared" si="311"/>
        <v>1.3156521739130436</v>
      </c>
    </row>
    <row r="1308" spans="1:25" x14ac:dyDescent="0.25">
      <c r="A1308" s="34">
        <f t="shared" si="317"/>
        <v>1300</v>
      </c>
      <c r="B1308" s="35" t="e">
        <f t="shared" si="317"/>
        <v>#REF!</v>
      </c>
      <c r="C1308" s="42" t="s">
        <v>348</v>
      </c>
      <c r="D1308" s="43">
        <v>80</v>
      </c>
      <c r="E1308" s="43"/>
      <c r="F1308" s="36">
        <v>0.12740000000000001</v>
      </c>
      <c r="G1308" s="36">
        <v>2.50978E-2</v>
      </c>
      <c r="H1308" s="36">
        <v>0.1361</v>
      </c>
      <c r="I1308" s="37">
        <v>2.0414999999999999E-2</v>
      </c>
      <c r="J1308" s="32">
        <f t="shared" si="309"/>
        <v>0.25178500000000004</v>
      </c>
      <c r="K1308" s="33">
        <f t="shared" si="312"/>
        <v>3.7767750000000003E-2</v>
      </c>
      <c r="L1308" s="33"/>
      <c r="O1308" s="2">
        <f t="shared" si="314"/>
        <v>5.6708333333333333E-2</v>
      </c>
      <c r="P1308" s="2">
        <f t="shared" si="315"/>
        <v>40.83</v>
      </c>
      <c r="Q1308" s="7">
        <f t="shared" si="316"/>
        <v>184.91847826086956</v>
      </c>
      <c r="R1308" s="2">
        <v>1.2</v>
      </c>
      <c r="S1308" s="2">
        <f t="shared" si="310"/>
        <v>3.7</v>
      </c>
      <c r="T1308" s="2"/>
      <c r="U1308" s="2"/>
      <c r="Y1308" s="8">
        <f t="shared" si="311"/>
        <v>5.4735869565217401</v>
      </c>
    </row>
    <row r="1309" spans="1:25" x14ac:dyDescent="0.25">
      <c r="A1309" s="34">
        <f t="shared" si="317"/>
        <v>1301</v>
      </c>
      <c r="B1309" s="35" t="e">
        <f t="shared" si="317"/>
        <v>#REF!</v>
      </c>
      <c r="C1309" s="42" t="s">
        <v>351</v>
      </c>
      <c r="D1309" s="43">
        <v>43</v>
      </c>
      <c r="E1309" s="43"/>
      <c r="F1309" s="36">
        <v>0.13239999999999999</v>
      </c>
      <c r="G1309" s="36">
        <v>2.60828E-2</v>
      </c>
      <c r="H1309" s="36">
        <v>3.3849999999999998E-2</v>
      </c>
      <c r="I1309" s="37">
        <v>5.0775000000000004E-3</v>
      </c>
      <c r="J1309" s="32">
        <f t="shared" si="309"/>
        <v>7.5316250000000001E-2</v>
      </c>
      <c r="K1309" s="33">
        <f t="shared" si="312"/>
        <v>1.12974375E-2</v>
      </c>
      <c r="L1309" s="33"/>
      <c r="O1309" s="2">
        <f t="shared" si="314"/>
        <v>1.4104166666666666E-2</v>
      </c>
      <c r="P1309" s="2">
        <f t="shared" si="315"/>
        <v>10.154999999999999</v>
      </c>
      <c r="Q1309" s="7">
        <f t="shared" si="316"/>
        <v>45.991847826086953</v>
      </c>
      <c r="R1309" s="2">
        <v>1.2</v>
      </c>
      <c r="S1309" s="2">
        <f t="shared" si="310"/>
        <v>4.45</v>
      </c>
      <c r="T1309" s="2"/>
      <c r="U1309" s="2"/>
      <c r="Y1309" s="8">
        <f t="shared" si="311"/>
        <v>1.6373097826086958</v>
      </c>
    </row>
    <row r="1310" spans="1:25" x14ac:dyDescent="0.25">
      <c r="A1310" s="34">
        <f t="shared" si="317"/>
        <v>1302</v>
      </c>
      <c r="B1310" s="35" t="e">
        <f t="shared" si="317"/>
        <v>#REF!</v>
      </c>
      <c r="C1310" s="42" t="s">
        <v>352</v>
      </c>
      <c r="D1310" s="43">
        <v>3</v>
      </c>
      <c r="E1310" s="43">
        <v>1</v>
      </c>
      <c r="F1310" s="36">
        <v>0.20150000000000001</v>
      </c>
      <c r="G1310" s="36">
        <v>3.9695500000000002E-2</v>
      </c>
      <c r="H1310" s="36">
        <v>0.10377699999999999</v>
      </c>
      <c r="I1310" s="37">
        <f>H1310*0.15</f>
        <v>1.5566549999999998E-2</v>
      </c>
      <c r="J1310" s="32">
        <f t="shared" si="309"/>
        <v>0.23090382500000001</v>
      </c>
      <c r="K1310" s="33">
        <f t="shared" si="312"/>
        <v>3.4635573750000002E-2</v>
      </c>
      <c r="L1310" s="33"/>
      <c r="O1310" s="2">
        <f t="shared" si="314"/>
        <v>4.3240416666666663E-2</v>
      </c>
      <c r="P1310" s="2">
        <f t="shared" si="315"/>
        <v>31.133099999999995</v>
      </c>
      <c r="Q1310" s="7">
        <f t="shared" si="316"/>
        <v>141.00135869565216</v>
      </c>
      <c r="R1310" s="2">
        <v>1.2</v>
      </c>
      <c r="S1310" s="2">
        <f t="shared" si="310"/>
        <v>4.45</v>
      </c>
      <c r="T1310" s="2"/>
      <c r="U1310" s="2"/>
      <c r="Y1310" s="8">
        <f t="shared" si="311"/>
        <v>5.0196483695652176</v>
      </c>
    </row>
    <row r="1311" spans="1:25" x14ac:dyDescent="0.25">
      <c r="A1311" s="34">
        <f t="shared" si="317"/>
        <v>1303</v>
      </c>
      <c r="B1311" s="35" t="e">
        <f t="shared" si="317"/>
        <v>#REF!</v>
      </c>
      <c r="C1311" s="42" t="s">
        <v>352</v>
      </c>
      <c r="D1311" s="43">
        <v>3</v>
      </c>
      <c r="E1311" s="43">
        <v>2</v>
      </c>
      <c r="F1311" s="36">
        <v>0.20150000000000001</v>
      </c>
      <c r="G1311" s="36">
        <v>3.9695500000000002E-2</v>
      </c>
      <c r="H1311" s="36">
        <v>0.11337700000000001</v>
      </c>
      <c r="I1311" s="37">
        <f t="shared" ref="I1311:I1312" si="318">H1311*0.15</f>
        <v>1.7006549999999999E-2</v>
      </c>
      <c r="J1311" s="32">
        <f t="shared" si="309"/>
        <v>0.20974745000000003</v>
      </c>
      <c r="K1311" s="33">
        <f t="shared" si="312"/>
        <v>3.1462117500000004E-2</v>
      </c>
      <c r="L1311" s="33"/>
      <c r="O1311" s="2">
        <f t="shared" si="314"/>
        <v>4.7240416666666674E-2</v>
      </c>
      <c r="P1311" s="2">
        <f t="shared" si="315"/>
        <v>34.013100000000009</v>
      </c>
      <c r="Q1311" s="7">
        <f t="shared" si="316"/>
        <v>154.04483695652178</v>
      </c>
      <c r="R1311" s="2">
        <v>1.2</v>
      </c>
      <c r="S1311" s="2">
        <f t="shared" si="310"/>
        <v>3.7</v>
      </c>
      <c r="T1311" s="2"/>
      <c r="U1311" s="2"/>
      <c r="Y1311" s="8">
        <f t="shared" si="311"/>
        <v>4.5597271739130445</v>
      </c>
    </row>
    <row r="1312" spans="1:25" x14ac:dyDescent="0.25">
      <c r="A1312" s="34">
        <f t="shared" si="317"/>
        <v>1304</v>
      </c>
      <c r="B1312" s="35" t="e">
        <f t="shared" si="317"/>
        <v>#REF!</v>
      </c>
      <c r="C1312" s="42" t="s">
        <v>352</v>
      </c>
      <c r="D1312" s="43" t="s">
        <v>155</v>
      </c>
      <c r="E1312" s="43"/>
      <c r="F1312" s="36">
        <v>0.1943</v>
      </c>
      <c r="G1312" s="36">
        <v>3.8277100000000001E-2</v>
      </c>
      <c r="H1312" s="36">
        <v>0</v>
      </c>
      <c r="I1312" s="37">
        <f t="shared" si="318"/>
        <v>0</v>
      </c>
      <c r="J1312" s="32">
        <f t="shared" si="309"/>
        <v>0</v>
      </c>
      <c r="K1312" s="33">
        <f t="shared" si="312"/>
        <v>0</v>
      </c>
      <c r="L1312" s="33"/>
      <c r="O1312" s="2">
        <f t="shared" si="314"/>
        <v>0</v>
      </c>
      <c r="P1312" s="2">
        <f t="shared" si="315"/>
        <v>0</v>
      </c>
      <c r="Q1312" s="7">
        <f t="shared" si="316"/>
        <v>0</v>
      </c>
      <c r="R1312" s="2">
        <v>1.2</v>
      </c>
      <c r="S1312" s="2">
        <f t="shared" si="310"/>
        <v>4.45</v>
      </c>
      <c r="T1312" s="2"/>
      <c r="U1312" s="2"/>
      <c r="Y1312" s="8">
        <f t="shared" si="311"/>
        <v>0</v>
      </c>
    </row>
    <row r="1313" spans="1:25" x14ac:dyDescent="0.25">
      <c r="A1313" s="34">
        <f t="shared" si="317"/>
        <v>1305</v>
      </c>
      <c r="B1313" s="35" t="e">
        <f t="shared" si="317"/>
        <v>#REF!</v>
      </c>
      <c r="C1313" s="42" t="s">
        <v>352</v>
      </c>
      <c r="D1313" s="43">
        <v>26</v>
      </c>
      <c r="E1313" s="43">
        <v>1</v>
      </c>
      <c r="F1313" s="36">
        <v>0.14724999999999999</v>
      </c>
      <c r="G1313" s="36">
        <v>2.9008249999999999E-2</v>
      </c>
      <c r="H1313" s="36">
        <v>6.2549999999999994E-2</v>
      </c>
      <c r="I1313" s="37">
        <v>9.3825000000000002E-3</v>
      </c>
      <c r="J1313" s="32">
        <f t="shared" si="309"/>
        <v>0.13917374999999998</v>
      </c>
      <c r="K1313" s="33">
        <f t="shared" si="312"/>
        <v>2.0876062499999997E-2</v>
      </c>
      <c r="L1313" s="33"/>
      <c r="O1313" s="2">
        <f t="shared" si="314"/>
        <v>2.6062499999999999E-2</v>
      </c>
      <c r="P1313" s="2">
        <f t="shared" si="315"/>
        <v>18.764999999999997</v>
      </c>
      <c r="Q1313" s="7">
        <f t="shared" si="316"/>
        <v>84.986413043478251</v>
      </c>
      <c r="R1313" s="2">
        <v>1.2</v>
      </c>
      <c r="S1313" s="2">
        <f t="shared" si="310"/>
        <v>4.45</v>
      </c>
      <c r="T1313" s="2"/>
      <c r="U1313" s="2"/>
      <c r="Y1313" s="8">
        <f t="shared" si="311"/>
        <v>3.0255163043478257</v>
      </c>
    </row>
    <row r="1314" spans="1:25" x14ac:dyDescent="0.25">
      <c r="A1314" s="34">
        <f t="shared" si="317"/>
        <v>1306</v>
      </c>
      <c r="B1314" s="35" t="e">
        <f t="shared" si="317"/>
        <v>#REF!</v>
      </c>
      <c r="C1314" s="42" t="s">
        <v>352</v>
      </c>
      <c r="D1314" s="43">
        <v>26</v>
      </c>
      <c r="E1314" s="43">
        <v>2</v>
      </c>
      <c r="F1314" s="36">
        <v>0.14724999999999999</v>
      </c>
      <c r="G1314" s="36">
        <v>2.9008249999999999E-2</v>
      </c>
      <c r="H1314" s="36">
        <v>6.2549999999999994E-2</v>
      </c>
      <c r="I1314" s="37">
        <v>9.3825000000000002E-3</v>
      </c>
      <c r="J1314" s="32">
        <f t="shared" si="309"/>
        <v>0.13917374999999998</v>
      </c>
      <c r="K1314" s="33">
        <f t="shared" si="312"/>
        <v>2.0876062499999997E-2</v>
      </c>
      <c r="L1314" s="33"/>
      <c r="O1314" s="2">
        <f t="shared" si="314"/>
        <v>2.6062499999999999E-2</v>
      </c>
      <c r="P1314" s="2">
        <f t="shared" si="315"/>
        <v>18.764999999999997</v>
      </c>
      <c r="Q1314" s="7">
        <f t="shared" si="316"/>
        <v>84.986413043478251</v>
      </c>
      <c r="R1314" s="2">
        <v>1.2</v>
      </c>
      <c r="S1314" s="2">
        <f t="shared" si="310"/>
        <v>4.45</v>
      </c>
      <c r="T1314" s="2"/>
      <c r="U1314" s="2"/>
      <c r="Y1314" s="8">
        <f t="shared" si="311"/>
        <v>3.0255163043478257</v>
      </c>
    </row>
    <row r="1315" spans="1:25" x14ac:dyDescent="0.25">
      <c r="A1315" s="34">
        <f t="shared" si="317"/>
        <v>1307</v>
      </c>
      <c r="B1315" s="35" t="e">
        <f t="shared" si="317"/>
        <v>#REF!</v>
      </c>
      <c r="C1315" s="42" t="s">
        <v>352</v>
      </c>
      <c r="D1315" s="43">
        <v>37</v>
      </c>
      <c r="E1315" s="43">
        <v>1</v>
      </c>
      <c r="F1315" s="36">
        <v>8.1199999999999994E-2</v>
      </c>
      <c r="G1315" s="36">
        <v>1.5996400000000001E-2</v>
      </c>
      <c r="H1315" s="36">
        <v>2.76E-2</v>
      </c>
      <c r="I1315" s="37">
        <v>4.1399999999999996E-3</v>
      </c>
      <c r="J1315" s="32">
        <f t="shared" si="309"/>
        <v>6.1409999999999999E-2</v>
      </c>
      <c r="K1315" s="33">
        <f t="shared" si="312"/>
        <v>9.2114999999999992E-3</v>
      </c>
      <c r="L1315" s="33"/>
      <c r="O1315" s="2">
        <f t="shared" si="314"/>
        <v>1.15E-2</v>
      </c>
      <c r="P1315" s="2">
        <f t="shared" si="315"/>
        <v>8.2800000000000011</v>
      </c>
      <c r="Q1315" s="7">
        <f t="shared" si="316"/>
        <v>37.500000000000007</v>
      </c>
      <c r="R1315" s="2">
        <v>1.2</v>
      </c>
      <c r="S1315" s="2">
        <f t="shared" si="310"/>
        <v>4.45</v>
      </c>
      <c r="T1315" s="2"/>
      <c r="U1315" s="2"/>
      <c r="Y1315" s="8">
        <f t="shared" si="311"/>
        <v>1.335</v>
      </c>
    </row>
    <row r="1316" spans="1:25" x14ac:dyDescent="0.25">
      <c r="A1316" s="34">
        <f t="shared" si="317"/>
        <v>1308</v>
      </c>
      <c r="B1316" s="35" t="e">
        <f t="shared" si="317"/>
        <v>#REF!</v>
      </c>
      <c r="C1316" s="42" t="s">
        <v>352</v>
      </c>
      <c r="D1316" s="43">
        <v>37</v>
      </c>
      <c r="E1316" s="43">
        <v>2</v>
      </c>
      <c r="F1316" s="36">
        <v>8.1199999999999994E-2</v>
      </c>
      <c r="G1316" s="36">
        <v>1.5996400000000001E-2</v>
      </c>
      <c r="H1316" s="36">
        <v>2.76E-2</v>
      </c>
      <c r="I1316" s="37">
        <v>4.1399999999999996E-3</v>
      </c>
      <c r="J1316" s="32">
        <f t="shared" si="309"/>
        <v>6.1409999999999999E-2</v>
      </c>
      <c r="K1316" s="33">
        <f t="shared" si="312"/>
        <v>9.2114999999999992E-3</v>
      </c>
      <c r="L1316" s="33"/>
      <c r="O1316" s="2">
        <f t="shared" si="314"/>
        <v>1.15E-2</v>
      </c>
      <c r="P1316" s="2">
        <f t="shared" si="315"/>
        <v>8.2800000000000011</v>
      </c>
      <c r="Q1316" s="7">
        <f t="shared" si="316"/>
        <v>37.500000000000007</v>
      </c>
      <c r="R1316" s="2">
        <v>1.2</v>
      </c>
      <c r="S1316" s="2">
        <f t="shared" si="310"/>
        <v>4.45</v>
      </c>
      <c r="T1316" s="2"/>
      <c r="U1316" s="2"/>
      <c r="Y1316" s="8">
        <f t="shared" si="311"/>
        <v>1.335</v>
      </c>
    </row>
    <row r="1317" spans="1:25" x14ac:dyDescent="0.25">
      <c r="A1317" s="34">
        <f t="shared" si="317"/>
        <v>1309</v>
      </c>
      <c r="B1317" s="35" t="e">
        <f t="shared" si="317"/>
        <v>#REF!</v>
      </c>
      <c r="C1317" s="42" t="s">
        <v>352</v>
      </c>
      <c r="D1317" s="43">
        <v>140</v>
      </c>
      <c r="E1317" s="43"/>
      <c r="F1317" s="36">
        <v>0.10299999999999999</v>
      </c>
      <c r="G1317" s="36">
        <v>2.0291E-2</v>
      </c>
      <c r="H1317" s="36">
        <v>4.1200000000000001E-2</v>
      </c>
      <c r="I1317" s="37">
        <v>6.1799999999999997E-3</v>
      </c>
      <c r="J1317" s="32">
        <f t="shared" si="309"/>
        <v>9.1670000000000001E-2</v>
      </c>
      <c r="K1317" s="33">
        <f t="shared" si="312"/>
        <v>1.3750500000000001E-2</v>
      </c>
      <c r="L1317" s="33"/>
      <c r="O1317" s="2">
        <f t="shared" si="314"/>
        <v>1.7166666666666667E-2</v>
      </c>
      <c r="P1317" s="2">
        <f t="shared" si="315"/>
        <v>12.360000000000001</v>
      </c>
      <c r="Q1317" s="7">
        <f t="shared" si="316"/>
        <v>55.978260869565226</v>
      </c>
      <c r="R1317" s="2">
        <v>1.2</v>
      </c>
      <c r="S1317" s="2">
        <f t="shared" si="310"/>
        <v>4.45</v>
      </c>
      <c r="T1317" s="2"/>
      <c r="U1317" s="2"/>
      <c r="Y1317" s="8">
        <f t="shared" si="311"/>
        <v>1.992826086956522</v>
      </c>
    </row>
    <row r="1318" spans="1:25" x14ac:dyDescent="0.25">
      <c r="A1318" s="34">
        <f t="shared" si="317"/>
        <v>1310</v>
      </c>
      <c r="B1318" s="35" t="e">
        <f t="shared" si="317"/>
        <v>#REF!</v>
      </c>
      <c r="C1318" s="42" t="s">
        <v>353</v>
      </c>
      <c r="D1318" s="43">
        <v>282</v>
      </c>
      <c r="E1318" s="43"/>
      <c r="F1318" s="36">
        <v>0.21629999999999999</v>
      </c>
      <c r="G1318" s="36">
        <v>4.2611099999999999E-2</v>
      </c>
      <c r="H1318" s="36">
        <v>9.1998999999999997E-2</v>
      </c>
      <c r="I1318" s="37">
        <v>1.3799850000000001E-2</v>
      </c>
      <c r="J1318" s="32">
        <f t="shared" si="309"/>
        <v>0.204697775</v>
      </c>
      <c r="K1318" s="33">
        <f t="shared" si="312"/>
        <v>3.0704666249999998E-2</v>
      </c>
      <c r="L1318" s="33"/>
      <c r="O1318" s="2">
        <f t="shared" si="314"/>
        <v>3.8332916666666668E-2</v>
      </c>
      <c r="P1318" s="2">
        <f t="shared" si="315"/>
        <v>27.599700000000002</v>
      </c>
      <c r="Q1318" s="7">
        <f t="shared" si="316"/>
        <v>124.99864130434784</v>
      </c>
      <c r="R1318" s="2">
        <v>1.2</v>
      </c>
      <c r="S1318" s="2">
        <f t="shared" si="310"/>
        <v>4.45</v>
      </c>
      <c r="T1318" s="2"/>
      <c r="U1318" s="2"/>
      <c r="Y1318" s="8">
        <f t="shared" si="311"/>
        <v>4.4499516304347821</v>
      </c>
    </row>
    <row r="1319" spans="1:25" x14ac:dyDescent="0.25">
      <c r="A1319" s="34">
        <f t="shared" si="317"/>
        <v>1311</v>
      </c>
      <c r="B1319" s="35" t="e">
        <f t="shared" si="317"/>
        <v>#REF!</v>
      </c>
      <c r="C1319" s="42" t="s">
        <v>353</v>
      </c>
      <c r="D1319" s="43">
        <v>300</v>
      </c>
      <c r="E1319" s="43">
        <v>1</v>
      </c>
      <c r="F1319" s="36">
        <v>0.1075</v>
      </c>
      <c r="G1319" s="36">
        <v>2.1177499999999998E-2</v>
      </c>
      <c r="H1319" s="36">
        <v>5.6599999999999998E-2</v>
      </c>
      <c r="I1319" s="37">
        <v>8.4899999999999993E-3</v>
      </c>
      <c r="J1319" s="32">
        <f t="shared" si="309"/>
        <v>0.12593499999999999</v>
      </c>
      <c r="K1319" s="33">
        <f t="shared" si="312"/>
        <v>1.8890249999999997E-2</v>
      </c>
      <c r="L1319" s="33"/>
      <c r="O1319" s="2">
        <f t="shared" si="314"/>
        <v>2.3583333333333335E-2</v>
      </c>
      <c r="P1319" s="2">
        <f t="shared" si="315"/>
        <v>16.98</v>
      </c>
      <c r="Q1319" s="7">
        <f t="shared" si="316"/>
        <v>76.902173913043484</v>
      </c>
      <c r="R1319" s="2">
        <v>1.2</v>
      </c>
      <c r="S1319" s="2">
        <f t="shared" si="310"/>
        <v>4.45</v>
      </c>
      <c r="T1319" s="2"/>
      <c r="U1319" s="2"/>
      <c r="Y1319" s="8">
        <f t="shared" si="311"/>
        <v>2.7377173913043475</v>
      </c>
    </row>
    <row r="1320" spans="1:25" x14ac:dyDescent="0.25">
      <c r="A1320" s="34">
        <f t="shared" si="317"/>
        <v>1312</v>
      </c>
      <c r="B1320" s="35" t="e">
        <f t="shared" si="317"/>
        <v>#REF!</v>
      </c>
      <c r="C1320" s="42" t="s">
        <v>353</v>
      </c>
      <c r="D1320" s="43">
        <v>300</v>
      </c>
      <c r="E1320" s="43">
        <v>2</v>
      </c>
      <c r="F1320" s="36">
        <v>0.1075</v>
      </c>
      <c r="G1320" s="36">
        <v>2.1177499999999998E-2</v>
      </c>
      <c r="H1320" s="36">
        <v>5.6599999999999998E-2</v>
      </c>
      <c r="I1320" s="37">
        <v>8.4899999999999993E-3</v>
      </c>
      <c r="J1320" s="32">
        <f t="shared" si="309"/>
        <v>0.12593499999999999</v>
      </c>
      <c r="K1320" s="33">
        <f t="shared" si="312"/>
        <v>1.8890249999999997E-2</v>
      </c>
      <c r="L1320" s="33"/>
      <c r="O1320" s="2">
        <f t="shared" si="314"/>
        <v>2.3583333333333335E-2</v>
      </c>
      <c r="P1320" s="2">
        <f t="shared" si="315"/>
        <v>16.98</v>
      </c>
      <c r="Q1320" s="7">
        <f t="shared" si="316"/>
        <v>76.902173913043484</v>
      </c>
      <c r="R1320" s="2">
        <v>1.2</v>
      </c>
      <c r="S1320" s="2">
        <f t="shared" si="310"/>
        <v>4.45</v>
      </c>
      <c r="T1320" s="2"/>
      <c r="U1320" s="2"/>
      <c r="Y1320" s="8">
        <f t="shared" si="311"/>
        <v>2.7377173913043475</v>
      </c>
    </row>
    <row r="1321" spans="1:25" x14ac:dyDescent="0.25">
      <c r="A1321" s="34">
        <f t="shared" si="317"/>
        <v>1313</v>
      </c>
      <c r="B1321" s="35" t="e">
        <f t="shared" si="317"/>
        <v>#REF!</v>
      </c>
      <c r="C1321" s="42" t="s">
        <v>353</v>
      </c>
      <c r="D1321" s="43">
        <v>423</v>
      </c>
      <c r="E1321" s="43">
        <v>1</v>
      </c>
      <c r="F1321" s="36">
        <v>0.1477</v>
      </c>
      <c r="G1321" s="36">
        <v>2.9096899999999998E-2</v>
      </c>
      <c r="H1321" s="36">
        <v>5.8500000000000003E-2</v>
      </c>
      <c r="I1321" s="37">
        <v>8.7749999999999998E-3</v>
      </c>
      <c r="J1321" s="32">
        <f t="shared" si="309"/>
        <v>0.13016249999999999</v>
      </c>
      <c r="K1321" s="33">
        <f t="shared" si="312"/>
        <v>1.9524374999999997E-2</v>
      </c>
      <c r="L1321" s="33"/>
      <c r="O1321" s="2">
        <f t="shared" si="314"/>
        <v>2.4375000000000001E-2</v>
      </c>
      <c r="P1321" s="2">
        <f t="shared" si="315"/>
        <v>17.549999999999997</v>
      </c>
      <c r="Q1321" s="7">
        <f t="shared" si="316"/>
        <v>79.483695652173907</v>
      </c>
      <c r="R1321" s="2">
        <v>1.2</v>
      </c>
      <c r="S1321" s="2">
        <f t="shared" si="310"/>
        <v>4.45</v>
      </c>
      <c r="T1321" s="2"/>
      <c r="U1321" s="2"/>
      <c r="Y1321" s="8">
        <f t="shared" si="311"/>
        <v>2.8296195652173908</v>
      </c>
    </row>
    <row r="1322" spans="1:25" x14ac:dyDescent="0.25">
      <c r="A1322" s="34">
        <f t="shared" si="317"/>
        <v>1314</v>
      </c>
      <c r="B1322" s="35" t="e">
        <f t="shared" si="317"/>
        <v>#REF!</v>
      </c>
      <c r="C1322" s="42" t="s">
        <v>353</v>
      </c>
      <c r="D1322" s="43">
        <v>423</v>
      </c>
      <c r="E1322" s="43">
        <v>2</v>
      </c>
      <c r="F1322" s="36">
        <v>0.1477</v>
      </c>
      <c r="G1322" s="36">
        <v>2.9096899999999998E-2</v>
      </c>
      <c r="H1322" s="36">
        <v>5.8500000000000003E-2</v>
      </c>
      <c r="I1322" s="37">
        <v>8.7749999999999998E-3</v>
      </c>
      <c r="J1322" s="32">
        <f t="shared" si="309"/>
        <v>0.13016249999999999</v>
      </c>
      <c r="K1322" s="33">
        <f t="shared" si="312"/>
        <v>1.9524374999999997E-2</v>
      </c>
      <c r="L1322" s="33"/>
      <c r="O1322" s="2">
        <f t="shared" si="314"/>
        <v>2.4375000000000001E-2</v>
      </c>
      <c r="P1322" s="2">
        <f t="shared" si="315"/>
        <v>17.549999999999997</v>
      </c>
      <c r="Q1322" s="7">
        <f t="shared" si="316"/>
        <v>79.483695652173907</v>
      </c>
      <c r="R1322" s="2">
        <v>1.2</v>
      </c>
      <c r="S1322" s="2">
        <f t="shared" si="310"/>
        <v>4.45</v>
      </c>
      <c r="T1322" s="2"/>
      <c r="U1322" s="2"/>
      <c r="Y1322" s="8">
        <f t="shared" si="311"/>
        <v>2.8296195652173908</v>
      </c>
    </row>
    <row r="1323" spans="1:25" x14ac:dyDescent="0.25">
      <c r="A1323" s="34">
        <f t="shared" ref="A1323:B1338" si="319">A1322+1</f>
        <v>1315</v>
      </c>
      <c r="B1323" s="35" t="e">
        <f t="shared" si="319"/>
        <v>#REF!</v>
      </c>
      <c r="C1323" s="42" t="s">
        <v>353</v>
      </c>
      <c r="D1323" s="43">
        <v>425</v>
      </c>
      <c r="E1323" s="43"/>
      <c r="F1323" s="36">
        <v>0.2276</v>
      </c>
      <c r="G1323" s="36">
        <v>4.4837200000000001E-2</v>
      </c>
      <c r="H1323" s="36">
        <v>6.9099999999999995E-2</v>
      </c>
      <c r="I1323" s="37">
        <v>1.0364999999999999E-2</v>
      </c>
      <c r="J1323" s="32">
        <f t="shared" si="309"/>
        <v>0.15374749999999998</v>
      </c>
      <c r="K1323" s="33">
        <f t="shared" si="312"/>
        <v>2.3062124999999996E-2</v>
      </c>
      <c r="L1323" s="33"/>
      <c r="O1323" s="2">
        <f t="shared" si="314"/>
        <v>2.8791666666666667E-2</v>
      </c>
      <c r="P1323" s="2">
        <f t="shared" si="315"/>
        <v>20.73</v>
      </c>
      <c r="Q1323" s="7">
        <f t="shared" si="316"/>
        <v>93.885869565217391</v>
      </c>
      <c r="R1323" s="2">
        <v>1.2</v>
      </c>
      <c r="S1323" s="2">
        <f t="shared" si="310"/>
        <v>4.45</v>
      </c>
      <c r="T1323" s="2"/>
      <c r="U1323" s="2"/>
      <c r="Y1323" s="8">
        <f t="shared" si="311"/>
        <v>3.3423369565217387</v>
      </c>
    </row>
    <row r="1324" spans="1:25" x14ac:dyDescent="0.25">
      <c r="A1324" s="34">
        <f t="shared" si="319"/>
        <v>1316</v>
      </c>
      <c r="B1324" s="35" t="e">
        <f t="shared" si="319"/>
        <v>#REF!</v>
      </c>
      <c r="C1324" s="42" t="s">
        <v>353</v>
      </c>
      <c r="D1324" s="43" t="s">
        <v>354</v>
      </c>
      <c r="E1324" s="43"/>
      <c r="F1324" s="36">
        <v>4.9299999999999997E-2</v>
      </c>
      <c r="G1324" s="36">
        <v>9.7120999999999996E-3</v>
      </c>
      <c r="H1324" s="36">
        <v>1.2500000000000001E-2</v>
      </c>
      <c r="I1324" s="37">
        <v>1.8749999999999999E-3</v>
      </c>
      <c r="J1324" s="32">
        <f t="shared" si="309"/>
        <v>2.7812500000000004E-2</v>
      </c>
      <c r="K1324" s="33">
        <f t="shared" si="312"/>
        <v>4.1718750000000002E-3</v>
      </c>
      <c r="L1324" s="33"/>
      <c r="O1324" s="2">
        <f t="shared" si="314"/>
        <v>5.2083333333333339E-3</v>
      </c>
      <c r="P1324" s="2">
        <f t="shared" si="315"/>
        <v>3.75</v>
      </c>
      <c r="Q1324" s="7">
        <f t="shared" si="316"/>
        <v>16.983695652173914</v>
      </c>
      <c r="R1324" s="2">
        <v>1.2</v>
      </c>
      <c r="S1324" s="2">
        <f t="shared" si="310"/>
        <v>4.45</v>
      </c>
      <c r="T1324" s="2"/>
      <c r="U1324" s="2"/>
      <c r="Y1324" s="8">
        <f t="shared" si="311"/>
        <v>0.60461956521739135</v>
      </c>
    </row>
    <row r="1325" spans="1:25" x14ac:dyDescent="0.25">
      <c r="A1325" s="34">
        <f t="shared" si="319"/>
        <v>1317</v>
      </c>
      <c r="B1325" s="35" t="e">
        <f t="shared" si="319"/>
        <v>#REF!</v>
      </c>
      <c r="C1325" s="42" t="s">
        <v>353</v>
      </c>
      <c r="D1325" s="43" t="s">
        <v>355</v>
      </c>
      <c r="E1325" s="43"/>
      <c r="F1325" s="36">
        <v>4.9399999999999999E-2</v>
      </c>
      <c r="G1325" s="36">
        <v>9.7318000000000005E-3</v>
      </c>
      <c r="H1325" s="36">
        <v>1.17E-2</v>
      </c>
      <c r="I1325" s="37">
        <v>1.755E-3</v>
      </c>
      <c r="J1325" s="32">
        <f t="shared" si="309"/>
        <v>2.60325E-2</v>
      </c>
      <c r="K1325" s="33">
        <f t="shared" si="312"/>
        <v>3.9048749999999999E-3</v>
      </c>
      <c r="L1325" s="33"/>
      <c r="O1325" s="2">
        <f t="shared" si="314"/>
        <v>4.875E-3</v>
      </c>
      <c r="P1325" s="2">
        <f t="shared" si="315"/>
        <v>3.51</v>
      </c>
      <c r="Q1325" s="7">
        <f t="shared" si="316"/>
        <v>15.896739130434781</v>
      </c>
      <c r="R1325" s="2">
        <v>1.2</v>
      </c>
      <c r="S1325" s="2">
        <f t="shared" si="310"/>
        <v>4.45</v>
      </c>
      <c r="T1325" s="2"/>
      <c r="U1325" s="2"/>
      <c r="Y1325" s="8">
        <f t="shared" si="311"/>
        <v>0.56592391304347822</v>
      </c>
    </row>
    <row r="1326" spans="1:25" x14ac:dyDescent="0.25">
      <c r="A1326" s="34">
        <f t="shared" si="319"/>
        <v>1318</v>
      </c>
      <c r="B1326" s="35" t="e">
        <f t="shared" si="319"/>
        <v>#REF!</v>
      </c>
      <c r="C1326" s="40" t="s">
        <v>356</v>
      </c>
      <c r="D1326" s="35">
        <v>19</v>
      </c>
      <c r="E1326" s="35"/>
      <c r="F1326" s="36">
        <v>0.1032</v>
      </c>
      <c r="G1326" s="36">
        <f t="shared" ref="G1326:G1339" si="320">F1326*0.197</f>
        <v>2.0330400000000002E-2</v>
      </c>
      <c r="H1326" s="36">
        <v>4.41E-2</v>
      </c>
      <c r="I1326" s="37">
        <f t="shared" ref="I1326:I1339" si="321">H1326*0.15</f>
        <v>6.6150000000000002E-3</v>
      </c>
      <c r="J1326" s="32">
        <f t="shared" si="309"/>
        <v>9.8122500000000015E-2</v>
      </c>
      <c r="K1326" s="33">
        <f t="shared" si="312"/>
        <v>1.4718375000000002E-2</v>
      </c>
      <c r="L1326" s="33"/>
      <c r="O1326" s="2">
        <f t="shared" si="314"/>
        <v>1.8375000000000002E-2</v>
      </c>
      <c r="P1326" s="2">
        <f t="shared" si="315"/>
        <v>13.230000000000002</v>
      </c>
      <c r="Q1326" s="7">
        <f t="shared" si="316"/>
        <v>59.918478260869577</v>
      </c>
      <c r="R1326" s="2">
        <v>1.2</v>
      </c>
      <c r="S1326" s="2">
        <f t="shared" si="310"/>
        <v>4.45</v>
      </c>
      <c r="T1326" s="2"/>
      <c r="U1326" s="2"/>
      <c r="Y1326" s="8">
        <f t="shared" si="311"/>
        <v>2.1330978260869569</v>
      </c>
    </row>
    <row r="1327" spans="1:25" x14ac:dyDescent="0.25">
      <c r="A1327" s="34">
        <f t="shared" si="319"/>
        <v>1319</v>
      </c>
      <c r="B1327" s="35" t="e">
        <f t="shared" si="319"/>
        <v>#REF!</v>
      </c>
      <c r="C1327" s="40" t="s">
        <v>356</v>
      </c>
      <c r="D1327" s="35">
        <v>20</v>
      </c>
      <c r="E1327" s="35"/>
      <c r="F1327" s="36">
        <v>0.15179999999999999</v>
      </c>
      <c r="G1327" s="36">
        <f t="shared" si="320"/>
        <v>2.99046E-2</v>
      </c>
      <c r="H1327" s="36">
        <v>6.8400000000000002E-2</v>
      </c>
      <c r="I1327" s="37">
        <f t="shared" si="321"/>
        <v>1.026E-2</v>
      </c>
      <c r="J1327" s="32">
        <f t="shared" si="309"/>
        <v>0.15219000000000002</v>
      </c>
      <c r="K1327" s="33">
        <f t="shared" si="312"/>
        <v>2.2828500000000002E-2</v>
      </c>
      <c r="L1327" s="33"/>
      <c r="O1327" s="2">
        <f t="shared" si="314"/>
        <v>2.8500000000000001E-2</v>
      </c>
      <c r="P1327" s="2">
        <f t="shared" si="315"/>
        <v>20.520000000000003</v>
      </c>
      <c r="Q1327" s="7">
        <f t="shared" si="316"/>
        <v>92.93478260869567</v>
      </c>
      <c r="R1327" s="2">
        <v>1.2</v>
      </c>
      <c r="S1327" s="2">
        <f t="shared" si="310"/>
        <v>4.45</v>
      </c>
      <c r="T1327" s="2"/>
      <c r="U1327" s="2"/>
      <c r="Y1327" s="8">
        <f t="shared" si="311"/>
        <v>3.3084782608695655</v>
      </c>
    </row>
    <row r="1328" spans="1:25" x14ac:dyDescent="0.25">
      <c r="A1328" s="34">
        <f t="shared" si="319"/>
        <v>1320</v>
      </c>
      <c r="B1328" s="35" t="e">
        <f t="shared" si="319"/>
        <v>#REF!</v>
      </c>
      <c r="C1328" s="40" t="s">
        <v>356</v>
      </c>
      <c r="D1328" s="35" t="s">
        <v>209</v>
      </c>
      <c r="E1328" s="35"/>
      <c r="F1328" s="36">
        <v>0.1522</v>
      </c>
      <c r="G1328" s="36">
        <f t="shared" si="320"/>
        <v>2.99834E-2</v>
      </c>
      <c r="H1328" s="36">
        <v>8.1600000000000006E-2</v>
      </c>
      <c r="I1328" s="37">
        <f t="shared" si="321"/>
        <v>1.2240000000000001E-2</v>
      </c>
      <c r="J1328" s="32">
        <f t="shared" si="309"/>
        <v>0.18156000000000003</v>
      </c>
      <c r="K1328" s="33">
        <f t="shared" si="312"/>
        <v>2.7234000000000005E-2</v>
      </c>
      <c r="L1328" s="33"/>
      <c r="O1328" s="2">
        <f t="shared" si="314"/>
        <v>3.4000000000000002E-2</v>
      </c>
      <c r="P1328" s="2">
        <f t="shared" si="315"/>
        <v>24.48</v>
      </c>
      <c r="Q1328" s="7">
        <f t="shared" si="316"/>
        <v>110.86956521739131</v>
      </c>
      <c r="R1328" s="2">
        <v>1.2</v>
      </c>
      <c r="S1328" s="2">
        <f t="shared" si="310"/>
        <v>4.45</v>
      </c>
      <c r="T1328" s="2"/>
      <c r="U1328" s="2"/>
      <c r="Y1328" s="8">
        <f t="shared" si="311"/>
        <v>3.9469565217391307</v>
      </c>
    </row>
    <row r="1329" spans="1:25" x14ac:dyDescent="0.25">
      <c r="A1329" s="34">
        <f t="shared" si="319"/>
        <v>1321</v>
      </c>
      <c r="B1329" s="35" t="e">
        <f t="shared" si="319"/>
        <v>#REF!</v>
      </c>
      <c r="C1329" s="40" t="s">
        <v>356</v>
      </c>
      <c r="D1329" s="35">
        <v>21</v>
      </c>
      <c r="E1329" s="35"/>
      <c r="F1329" s="36">
        <v>0.10349999999999999</v>
      </c>
      <c r="G1329" s="36">
        <f t="shared" si="320"/>
        <v>2.0389500000000001E-2</v>
      </c>
      <c r="H1329" s="36">
        <v>4.19E-2</v>
      </c>
      <c r="I1329" s="37">
        <f t="shared" si="321"/>
        <v>6.2849999999999998E-3</v>
      </c>
      <c r="J1329" s="32">
        <f t="shared" si="309"/>
        <v>9.3227500000000005E-2</v>
      </c>
      <c r="K1329" s="33">
        <f t="shared" si="312"/>
        <v>1.3984125E-2</v>
      </c>
      <c r="L1329" s="33"/>
      <c r="O1329" s="2">
        <f t="shared" si="314"/>
        <v>1.7458333333333333E-2</v>
      </c>
      <c r="P1329" s="2">
        <f t="shared" si="315"/>
        <v>12.57</v>
      </c>
      <c r="Q1329" s="7">
        <f t="shared" si="316"/>
        <v>56.929347826086961</v>
      </c>
      <c r="R1329" s="2">
        <v>1.2</v>
      </c>
      <c r="S1329" s="2">
        <f t="shared" si="310"/>
        <v>4.45</v>
      </c>
      <c r="T1329" s="2"/>
      <c r="U1329" s="2"/>
      <c r="Y1329" s="8">
        <f t="shared" si="311"/>
        <v>2.0266847826086956</v>
      </c>
    </row>
    <row r="1330" spans="1:25" x14ac:dyDescent="0.25">
      <c r="A1330" s="34">
        <f t="shared" si="319"/>
        <v>1322</v>
      </c>
      <c r="B1330" s="35" t="e">
        <f t="shared" si="319"/>
        <v>#REF!</v>
      </c>
      <c r="C1330" s="40" t="s">
        <v>356</v>
      </c>
      <c r="D1330" s="35">
        <v>23</v>
      </c>
      <c r="E1330" s="35"/>
      <c r="F1330" s="36">
        <v>0.1043</v>
      </c>
      <c r="G1330" s="36">
        <f t="shared" si="320"/>
        <v>2.0547100000000002E-2</v>
      </c>
      <c r="H1330" s="36">
        <v>4.41E-2</v>
      </c>
      <c r="I1330" s="37">
        <f t="shared" si="321"/>
        <v>6.6150000000000002E-3</v>
      </c>
      <c r="J1330" s="32">
        <f t="shared" si="309"/>
        <v>9.8122500000000015E-2</v>
      </c>
      <c r="K1330" s="33">
        <f t="shared" si="312"/>
        <v>1.4718375000000002E-2</v>
      </c>
      <c r="L1330" s="33"/>
      <c r="O1330" s="2">
        <f t="shared" si="314"/>
        <v>1.8375000000000002E-2</v>
      </c>
      <c r="P1330" s="2">
        <f t="shared" si="315"/>
        <v>13.230000000000002</v>
      </c>
      <c r="Q1330" s="7">
        <f t="shared" si="316"/>
        <v>59.918478260869577</v>
      </c>
      <c r="R1330" s="2">
        <v>1.2</v>
      </c>
      <c r="S1330" s="2">
        <f t="shared" si="310"/>
        <v>4.45</v>
      </c>
      <c r="T1330" s="2"/>
      <c r="U1330" s="2"/>
      <c r="Y1330" s="8">
        <f t="shared" si="311"/>
        <v>2.1330978260869569</v>
      </c>
    </row>
    <row r="1331" spans="1:25" x14ac:dyDescent="0.25">
      <c r="A1331" s="34">
        <f t="shared" si="319"/>
        <v>1323</v>
      </c>
      <c r="B1331" s="35" t="e">
        <f t="shared" si="319"/>
        <v>#REF!</v>
      </c>
      <c r="C1331" s="40" t="s">
        <v>356</v>
      </c>
      <c r="D1331" s="35">
        <v>25</v>
      </c>
      <c r="E1331" s="35"/>
      <c r="F1331" s="36">
        <v>0.1026</v>
      </c>
      <c r="G1331" s="36">
        <f t="shared" si="320"/>
        <v>2.02122E-2</v>
      </c>
      <c r="H1331" s="36">
        <v>4.1200000000000001E-2</v>
      </c>
      <c r="I1331" s="37">
        <f t="shared" si="321"/>
        <v>6.1799999999999997E-3</v>
      </c>
      <c r="J1331" s="32">
        <f t="shared" si="309"/>
        <v>9.1670000000000001E-2</v>
      </c>
      <c r="K1331" s="33">
        <f t="shared" si="312"/>
        <v>1.3750500000000001E-2</v>
      </c>
      <c r="L1331" s="33"/>
      <c r="O1331" s="2">
        <f t="shared" si="314"/>
        <v>1.7166666666666667E-2</v>
      </c>
      <c r="P1331" s="2">
        <f t="shared" si="315"/>
        <v>12.360000000000001</v>
      </c>
      <c r="Q1331" s="7">
        <f t="shared" si="316"/>
        <v>55.978260869565226</v>
      </c>
      <c r="R1331" s="2">
        <v>1.2</v>
      </c>
      <c r="S1331" s="2">
        <f t="shared" si="310"/>
        <v>4.45</v>
      </c>
      <c r="T1331" s="2"/>
      <c r="U1331" s="2"/>
      <c r="Y1331" s="8">
        <f t="shared" si="311"/>
        <v>1.992826086956522</v>
      </c>
    </row>
    <row r="1332" spans="1:25" x14ac:dyDescent="0.25">
      <c r="A1332" s="34">
        <f t="shared" si="319"/>
        <v>1324</v>
      </c>
      <c r="B1332" s="35" t="e">
        <f t="shared" si="319"/>
        <v>#REF!</v>
      </c>
      <c r="C1332" s="40" t="s">
        <v>357</v>
      </c>
      <c r="D1332" s="35">
        <v>1</v>
      </c>
      <c r="E1332" s="43">
        <v>1</v>
      </c>
      <c r="F1332" s="36">
        <v>0.15029999999999999</v>
      </c>
      <c r="G1332" s="36">
        <f t="shared" si="320"/>
        <v>2.9609099999999999E-2</v>
      </c>
      <c r="H1332" s="36">
        <v>4.4900000000000002E-2</v>
      </c>
      <c r="I1332" s="37">
        <f t="shared" si="321"/>
        <v>6.7350000000000005E-3</v>
      </c>
      <c r="J1332" s="32">
        <f t="shared" si="309"/>
        <v>9.9902500000000005E-2</v>
      </c>
      <c r="K1332" s="33">
        <f t="shared" si="312"/>
        <v>1.4985375E-2</v>
      </c>
      <c r="L1332" s="33"/>
      <c r="O1332" s="2">
        <f t="shared" si="314"/>
        <v>1.8708333333333334E-2</v>
      </c>
      <c r="P1332" s="2">
        <f t="shared" si="315"/>
        <v>13.47</v>
      </c>
      <c r="Q1332" s="7">
        <f t="shared" si="316"/>
        <v>61.005434782608702</v>
      </c>
      <c r="R1332" s="2">
        <v>1.2</v>
      </c>
      <c r="S1332" s="2">
        <f t="shared" si="310"/>
        <v>4.45</v>
      </c>
      <c r="T1332" s="2"/>
      <c r="U1332" s="2"/>
      <c r="Y1332" s="8">
        <f t="shared" si="311"/>
        <v>2.1717934782608697</v>
      </c>
    </row>
    <row r="1333" spans="1:25" x14ac:dyDescent="0.25">
      <c r="A1333" s="34">
        <f t="shared" si="319"/>
        <v>1325</v>
      </c>
      <c r="B1333" s="35" t="e">
        <f t="shared" si="319"/>
        <v>#REF!</v>
      </c>
      <c r="C1333" s="40" t="s">
        <v>357</v>
      </c>
      <c r="D1333" s="35">
        <v>1</v>
      </c>
      <c r="E1333" s="43">
        <v>2</v>
      </c>
      <c r="F1333" s="36">
        <v>0.15029999999999999</v>
      </c>
      <c r="G1333" s="36">
        <f t="shared" si="320"/>
        <v>2.9609099999999999E-2</v>
      </c>
      <c r="H1333" s="36">
        <v>4.4900000000000002E-2</v>
      </c>
      <c r="I1333" s="37">
        <f t="shared" si="321"/>
        <v>6.7350000000000005E-3</v>
      </c>
      <c r="J1333" s="32">
        <f t="shared" si="309"/>
        <v>9.9902500000000005E-2</v>
      </c>
      <c r="K1333" s="33">
        <f t="shared" si="312"/>
        <v>1.4985375E-2</v>
      </c>
      <c r="L1333" s="33"/>
      <c r="O1333" s="2">
        <f t="shared" si="314"/>
        <v>1.8708333333333334E-2</v>
      </c>
      <c r="P1333" s="2">
        <f t="shared" si="315"/>
        <v>13.47</v>
      </c>
      <c r="Q1333" s="7">
        <f t="shared" si="316"/>
        <v>61.005434782608702</v>
      </c>
      <c r="R1333" s="2">
        <v>1.2</v>
      </c>
      <c r="S1333" s="2">
        <f t="shared" si="310"/>
        <v>4.45</v>
      </c>
      <c r="T1333" s="2"/>
      <c r="U1333" s="2"/>
      <c r="Y1333" s="8">
        <f t="shared" si="311"/>
        <v>2.1717934782608697</v>
      </c>
    </row>
    <row r="1334" spans="1:25" x14ac:dyDescent="0.25">
      <c r="A1334" s="34">
        <f t="shared" si="319"/>
        <v>1326</v>
      </c>
      <c r="B1334" s="35" t="e">
        <f t="shared" si="319"/>
        <v>#REF!</v>
      </c>
      <c r="C1334" s="40" t="s">
        <v>357</v>
      </c>
      <c r="D1334" s="35">
        <v>3</v>
      </c>
      <c r="E1334" s="43">
        <v>1</v>
      </c>
      <c r="F1334" s="36">
        <v>0.14960000000000001</v>
      </c>
      <c r="G1334" s="36">
        <f t="shared" si="320"/>
        <v>2.9471200000000003E-2</v>
      </c>
      <c r="H1334" s="36">
        <v>4.2000000000000003E-2</v>
      </c>
      <c r="I1334" s="37">
        <f t="shared" si="321"/>
        <v>6.3E-3</v>
      </c>
      <c r="J1334" s="32">
        <f t="shared" si="309"/>
        <v>9.3450000000000005E-2</v>
      </c>
      <c r="K1334" s="33">
        <f t="shared" si="312"/>
        <v>1.40175E-2</v>
      </c>
      <c r="L1334" s="33"/>
      <c r="O1334" s="2">
        <f t="shared" si="314"/>
        <v>1.7500000000000002E-2</v>
      </c>
      <c r="P1334" s="2">
        <f t="shared" si="315"/>
        <v>12.600000000000001</v>
      </c>
      <c r="Q1334" s="7">
        <f t="shared" si="316"/>
        <v>57.065217391304358</v>
      </c>
      <c r="R1334" s="2">
        <v>1.2</v>
      </c>
      <c r="S1334" s="2">
        <f t="shared" si="310"/>
        <v>4.45</v>
      </c>
      <c r="T1334" s="2"/>
      <c r="U1334" s="2"/>
      <c r="Y1334" s="8">
        <f t="shared" si="311"/>
        <v>2.0315217391304348</v>
      </c>
    </row>
    <row r="1335" spans="1:25" x14ac:dyDescent="0.25">
      <c r="A1335" s="34">
        <f t="shared" si="319"/>
        <v>1327</v>
      </c>
      <c r="B1335" s="35" t="e">
        <f t="shared" si="319"/>
        <v>#REF!</v>
      </c>
      <c r="C1335" s="40" t="s">
        <v>357</v>
      </c>
      <c r="D1335" s="35">
        <v>3</v>
      </c>
      <c r="E1335" s="43">
        <v>2</v>
      </c>
      <c r="F1335" s="36">
        <v>0.14960000000000001</v>
      </c>
      <c r="G1335" s="36">
        <f t="shared" si="320"/>
        <v>2.9471200000000003E-2</v>
      </c>
      <c r="H1335" s="36">
        <v>4.2000000000000003E-2</v>
      </c>
      <c r="I1335" s="37">
        <f t="shared" si="321"/>
        <v>6.3E-3</v>
      </c>
      <c r="J1335" s="32">
        <f t="shared" si="309"/>
        <v>9.3450000000000005E-2</v>
      </c>
      <c r="K1335" s="33">
        <f t="shared" si="312"/>
        <v>1.40175E-2</v>
      </c>
      <c r="L1335" s="33"/>
      <c r="O1335" s="2">
        <f t="shared" si="314"/>
        <v>1.7500000000000002E-2</v>
      </c>
      <c r="P1335" s="2">
        <f t="shared" si="315"/>
        <v>12.600000000000001</v>
      </c>
      <c r="Q1335" s="7">
        <f t="shared" si="316"/>
        <v>57.065217391304358</v>
      </c>
      <c r="R1335" s="2">
        <v>1.2</v>
      </c>
      <c r="S1335" s="2">
        <f t="shared" si="310"/>
        <v>4.45</v>
      </c>
      <c r="T1335" s="2"/>
      <c r="U1335" s="2"/>
      <c r="Y1335" s="8">
        <f t="shared" si="311"/>
        <v>2.0315217391304348</v>
      </c>
    </row>
    <row r="1336" spans="1:25" x14ac:dyDescent="0.25">
      <c r="A1336" s="34">
        <f t="shared" si="319"/>
        <v>1328</v>
      </c>
      <c r="B1336" s="35" t="e">
        <f t="shared" si="319"/>
        <v>#REF!</v>
      </c>
      <c r="C1336" s="40" t="s">
        <v>357</v>
      </c>
      <c r="D1336" s="35">
        <v>5</v>
      </c>
      <c r="E1336" s="43">
        <v>1</v>
      </c>
      <c r="F1336" s="36">
        <v>0.1542</v>
      </c>
      <c r="G1336" s="36">
        <f t="shared" si="320"/>
        <v>3.0377400000000002E-2</v>
      </c>
      <c r="H1336" s="36">
        <v>5.2299999999999999E-2</v>
      </c>
      <c r="I1336" s="37">
        <f t="shared" si="321"/>
        <v>7.8449999999999995E-3</v>
      </c>
      <c r="J1336" s="32">
        <f t="shared" si="309"/>
        <v>0.1163675</v>
      </c>
      <c r="K1336" s="33">
        <f t="shared" si="312"/>
        <v>1.7455124999999998E-2</v>
      </c>
      <c r="L1336" s="33"/>
      <c r="O1336" s="2">
        <f t="shared" si="314"/>
        <v>2.1791666666666668E-2</v>
      </c>
      <c r="P1336" s="2">
        <f t="shared" si="315"/>
        <v>15.690000000000001</v>
      </c>
      <c r="Q1336" s="7">
        <f t="shared" si="316"/>
        <v>71.059782608695656</v>
      </c>
      <c r="R1336" s="2">
        <v>1.2</v>
      </c>
      <c r="S1336" s="2">
        <f t="shared" si="310"/>
        <v>4.45</v>
      </c>
      <c r="T1336" s="2"/>
      <c r="U1336" s="2"/>
      <c r="Y1336" s="8">
        <f t="shared" si="311"/>
        <v>2.5297282608695655</v>
      </c>
    </row>
    <row r="1337" spans="1:25" x14ac:dyDescent="0.25">
      <c r="A1337" s="34">
        <f t="shared" si="319"/>
        <v>1329</v>
      </c>
      <c r="B1337" s="35" t="e">
        <f t="shared" si="319"/>
        <v>#REF!</v>
      </c>
      <c r="C1337" s="40" t="s">
        <v>357</v>
      </c>
      <c r="D1337" s="35">
        <v>5</v>
      </c>
      <c r="E1337" s="43">
        <v>2</v>
      </c>
      <c r="F1337" s="36">
        <v>0.1542</v>
      </c>
      <c r="G1337" s="36">
        <f t="shared" si="320"/>
        <v>3.0377400000000002E-2</v>
      </c>
      <c r="H1337" s="36">
        <v>5.2299999999999999E-2</v>
      </c>
      <c r="I1337" s="37">
        <f t="shared" si="321"/>
        <v>7.8449999999999995E-3</v>
      </c>
      <c r="J1337" s="32">
        <f t="shared" si="309"/>
        <v>0.1163675</v>
      </c>
      <c r="K1337" s="33">
        <f t="shared" si="312"/>
        <v>1.7455124999999998E-2</v>
      </c>
      <c r="L1337" s="33"/>
      <c r="O1337" s="2">
        <f t="shared" si="314"/>
        <v>2.1791666666666668E-2</v>
      </c>
      <c r="P1337" s="2">
        <f t="shared" si="315"/>
        <v>15.690000000000001</v>
      </c>
      <c r="Q1337" s="7">
        <f t="shared" si="316"/>
        <v>71.059782608695656</v>
      </c>
      <c r="R1337" s="2">
        <v>1.2</v>
      </c>
      <c r="S1337" s="2">
        <f t="shared" si="310"/>
        <v>4.45</v>
      </c>
      <c r="T1337" s="2"/>
      <c r="U1337" s="2"/>
      <c r="Y1337" s="8">
        <f t="shared" si="311"/>
        <v>2.5297282608695655</v>
      </c>
    </row>
    <row r="1338" spans="1:25" x14ac:dyDescent="0.25">
      <c r="A1338" s="34">
        <f t="shared" si="319"/>
        <v>1330</v>
      </c>
      <c r="B1338" s="35" t="e">
        <f t="shared" si="319"/>
        <v>#REF!</v>
      </c>
      <c r="C1338" s="40" t="s">
        <v>357</v>
      </c>
      <c r="D1338" s="35">
        <v>7</v>
      </c>
      <c r="E1338" s="43">
        <v>1</v>
      </c>
      <c r="F1338" s="36">
        <v>0.15340000000000001</v>
      </c>
      <c r="G1338" s="36">
        <f t="shared" si="320"/>
        <v>3.0219800000000002E-2</v>
      </c>
      <c r="H1338" s="36">
        <v>4.5999999999999999E-2</v>
      </c>
      <c r="I1338" s="37">
        <f t="shared" si="321"/>
        <v>6.8999999999999999E-3</v>
      </c>
      <c r="J1338" s="32">
        <f t="shared" si="309"/>
        <v>0.10235000000000002</v>
      </c>
      <c r="K1338" s="33">
        <f t="shared" si="312"/>
        <v>1.5352500000000003E-2</v>
      </c>
      <c r="L1338" s="33"/>
      <c r="O1338" s="2">
        <f t="shared" si="314"/>
        <v>1.9166666666666669E-2</v>
      </c>
      <c r="P1338" s="2">
        <f t="shared" si="315"/>
        <v>13.800000000000002</v>
      </c>
      <c r="Q1338" s="7">
        <f t="shared" si="316"/>
        <v>62.500000000000014</v>
      </c>
      <c r="R1338" s="2">
        <v>1.2</v>
      </c>
      <c r="S1338" s="2">
        <f t="shared" si="310"/>
        <v>4.45</v>
      </c>
      <c r="T1338" s="2"/>
      <c r="U1338" s="2"/>
      <c r="Y1338" s="8">
        <f t="shared" si="311"/>
        <v>2.2250000000000005</v>
      </c>
    </row>
    <row r="1339" spans="1:25" x14ac:dyDescent="0.25">
      <c r="A1339" s="34">
        <f t="shared" ref="A1339:B1354" si="322">A1338+1</f>
        <v>1331</v>
      </c>
      <c r="B1339" s="35" t="e">
        <f t="shared" si="322"/>
        <v>#REF!</v>
      </c>
      <c r="C1339" s="40" t="s">
        <v>357</v>
      </c>
      <c r="D1339" s="35">
        <v>7</v>
      </c>
      <c r="E1339" s="43">
        <v>2</v>
      </c>
      <c r="F1339" s="36">
        <v>0.15340000000000001</v>
      </c>
      <c r="G1339" s="36">
        <f t="shared" si="320"/>
        <v>3.0219800000000002E-2</v>
      </c>
      <c r="H1339" s="36">
        <v>4.5999999999999999E-2</v>
      </c>
      <c r="I1339" s="37">
        <f t="shared" si="321"/>
        <v>6.8999999999999999E-3</v>
      </c>
      <c r="J1339" s="32">
        <f t="shared" si="309"/>
        <v>0.10235000000000002</v>
      </c>
      <c r="K1339" s="33">
        <f t="shared" si="312"/>
        <v>1.5352500000000003E-2</v>
      </c>
      <c r="L1339" s="33"/>
      <c r="O1339" s="2">
        <f t="shared" si="314"/>
        <v>1.9166666666666669E-2</v>
      </c>
      <c r="P1339" s="2">
        <f t="shared" si="315"/>
        <v>13.800000000000002</v>
      </c>
      <c r="Q1339" s="7">
        <f t="shared" si="316"/>
        <v>62.500000000000014</v>
      </c>
      <c r="R1339" s="2">
        <v>1.2</v>
      </c>
      <c r="S1339" s="2">
        <f t="shared" si="310"/>
        <v>4.45</v>
      </c>
      <c r="T1339" s="2"/>
      <c r="U1339" s="2"/>
      <c r="Y1339" s="8">
        <f t="shared" si="311"/>
        <v>2.2250000000000005</v>
      </c>
    </row>
    <row r="1340" spans="1:25" x14ac:dyDescent="0.25">
      <c r="A1340" s="34">
        <f t="shared" si="322"/>
        <v>1332</v>
      </c>
      <c r="B1340" s="35" t="e">
        <f t="shared" si="322"/>
        <v>#REF!</v>
      </c>
      <c r="C1340" s="42" t="s">
        <v>358</v>
      </c>
      <c r="D1340" s="43">
        <v>26</v>
      </c>
      <c r="E1340" s="43">
        <v>1</v>
      </c>
      <c r="F1340" s="36">
        <v>8.8700000000000001E-2</v>
      </c>
      <c r="G1340" s="36">
        <v>1.7473900000000001E-2</v>
      </c>
      <c r="H1340" s="36">
        <v>4.4900000000000002E-2</v>
      </c>
      <c r="I1340" s="37">
        <v>6.7349999999999997E-3</v>
      </c>
      <c r="J1340" s="32">
        <f t="shared" si="309"/>
        <v>9.9902500000000005E-2</v>
      </c>
      <c r="K1340" s="33">
        <f t="shared" si="312"/>
        <v>1.4985375E-2</v>
      </c>
      <c r="L1340" s="33"/>
      <c r="O1340" s="2">
        <f t="shared" si="314"/>
        <v>1.8708333333333334E-2</v>
      </c>
      <c r="P1340" s="2">
        <f t="shared" si="315"/>
        <v>13.47</v>
      </c>
      <c r="Q1340" s="7">
        <f t="shared" si="316"/>
        <v>61.005434782608702</v>
      </c>
      <c r="R1340" s="2">
        <v>1.2</v>
      </c>
      <c r="S1340" s="2">
        <f t="shared" si="310"/>
        <v>4.45</v>
      </c>
      <c r="T1340" s="2"/>
      <c r="U1340" s="2"/>
      <c r="Y1340" s="8">
        <f t="shared" si="311"/>
        <v>2.1717934782608697</v>
      </c>
    </row>
    <row r="1341" spans="1:25" x14ac:dyDescent="0.25">
      <c r="A1341" s="34">
        <f t="shared" si="322"/>
        <v>1333</v>
      </c>
      <c r="B1341" s="35" t="e">
        <f t="shared" si="322"/>
        <v>#REF!</v>
      </c>
      <c r="C1341" s="42" t="s">
        <v>358</v>
      </c>
      <c r="D1341" s="43">
        <v>26</v>
      </c>
      <c r="E1341" s="43">
        <v>2</v>
      </c>
      <c r="F1341" s="36">
        <v>8.8700000000000001E-2</v>
      </c>
      <c r="G1341" s="36">
        <v>1.7473900000000001E-2</v>
      </c>
      <c r="H1341" s="36">
        <v>4.4900000000000002E-2</v>
      </c>
      <c r="I1341" s="37">
        <v>6.7349999999999997E-3</v>
      </c>
      <c r="J1341" s="32">
        <f t="shared" si="309"/>
        <v>9.9902500000000005E-2</v>
      </c>
      <c r="K1341" s="33">
        <f t="shared" si="312"/>
        <v>1.4985375E-2</v>
      </c>
      <c r="L1341" s="33"/>
      <c r="O1341" s="2">
        <f t="shared" si="314"/>
        <v>1.8708333333333334E-2</v>
      </c>
      <c r="P1341" s="2">
        <f t="shared" si="315"/>
        <v>13.47</v>
      </c>
      <c r="Q1341" s="7">
        <f t="shared" si="316"/>
        <v>61.005434782608702</v>
      </c>
      <c r="R1341" s="2">
        <v>1.2</v>
      </c>
      <c r="S1341" s="2">
        <f t="shared" si="310"/>
        <v>4.45</v>
      </c>
      <c r="T1341" s="2"/>
      <c r="U1341" s="2"/>
      <c r="Y1341" s="8">
        <f t="shared" si="311"/>
        <v>2.1717934782608697</v>
      </c>
    </row>
    <row r="1342" spans="1:25" ht="45" x14ac:dyDescent="0.25">
      <c r="A1342" s="34">
        <f t="shared" si="322"/>
        <v>1334</v>
      </c>
      <c r="B1342" s="35" t="e">
        <f t="shared" si="322"/>
        <v>#REF!</v>
      </c>
      <c r="C1342" s="42" t="s">
        <v>358</v>
      </c>
      <c r="D1342" s="42" t="s">
        <v>359</v>
      </c>
      <c r="E1342" s="43"/>
      <c r="F1342" s="36">
        <v>0.16159999999999999</v>
      </c>
      <c r="G1342" s="36">
        <v>3.1835200000000001E-2</v>
      </c>
      <c r="H1342" s="36">
        <v>4.87E-2</v>
      </c>
      <c r="I1342" s="37">
        <v>7.3049999999999999E-3</v>
      </c>
      <c r="J1342" s="32">
        <f t="shared" si="309"/>
        <v>0.10835750000000001</v>
      </c>
      <c r="K1342" s="33">
        <f t="shared" si="312"/>
        <v>1.6253625000000001E-2</v>
      </c>
      <c r="L1342" s="33"/>
      <c r="O1342" s="2">
        <f t="shared" si="314"/>
        <v>2.0291666666666666E-2</v>
      </c>
      <c r="P1342" s="2">
        <f t="shared" si="315"/>
        <v>14.61</v>
      </c>
      <c r="Q1342" s="7">
        <f t="shared" si="316"/>
        <v>66.168478260869563</v>
      </c>
      <c r="R1342" s="2">
        <v>1.2</v>
      </c>
      <c r="S1342" s="2">
        <f t="shared" si="310"/>
        <v>4.45</v>
      </c>
      <c r="T1342" s="2"/>
      <c r="U1342" s="2"/>
      <c r="Y1342" s="8">
        <f t="shared" si="311"/>
        <v>2.3555978260869566</v>
      </c>
    </row>
    <row r="1343" spans="1:25" ht="30" x14ac:dyDescent="0.25">
      <c r="A1343" s="34">
        <f t="shared" si="322"/>
        <v>1335</v>
      </c>
      <c r="B1343" s="35" t="e">
        <f t="shared" si="322"/>
        <v>#REF!</v>
      </c>
      <c r="C1343" s="42" t="s">
        <v>358</v>
      </c>
      <c r="D1343" s="42" t="s">
        <v>360</v>
      </c>
      <c r="E1343" s="43"/>
      <c r="F1343" s="36">
        <v>0.12529999999999999</v>
      </c>
      <c r="G1343" s="36">
        <v>2.46841E-2</v>
      </c>
      <c r="H1343" s="36">
        <v>5.2200000000000003E-2</v>
      </c>
      <c r="I1343" s="37">
        <v>7.8300000000000002E-3</v>
      </c>
      <c r="J1343" s="32">
        <f t="shared" si="309"/>
        <v>0.11614500000000001</v>
      </c>
      <c r="K1343" s="33">
        <f t="shared" si="312"/>
        <v>1.742175E-2</v>
      </c>
      <c r="L1343" s="33"/>
      <c r="O1343" s="2">
        <f t="shared" si="314"/>
        <v>2.1750000000000002E-2</v>
      </c>
      <c r="P1343" s="2">
        <f t="shared" si="315"/>
        <v>15.66</v>
      </c>
      <c r="Q1343" s="7">
        <f t="shared" si="316"/>
        <v>70.923913043478265</v>
      </c>
      <c r="R1343" s="2">
        <v>1.2</v>
      </c>
      <c r="S1343" s="2">
        <f t="shared" si="310"/>
        <v>4.45</v>
      </c>
      <c r="T1343" s="2"/>
      <c r="U1343" s="2"/>
      <c r="Y1343" s="8">
        <f t="shared" si="311"/>
        <v>2.5248913043478263</v>
      </c>
    </row>
    <row r="1344" spans="1:25" ht="45" x14ac:dyDescent="0.25">
      <c r="A1344" s="34">
        <f t="shared" si="322"/>
        <v>1336</v>
      </c>
      <c r="B1344" s="35" t="e">
        <f t="shared" si="322"/>
        <v>#REF!</v>
      </c>
      <c r="C1344" s="42" t="s">
        <v>358</v>
      </c>
      <c r="D1344" s="42" t="s">
        <v>361</v>
      </c>
      <c r="E1344" s="43"/>
      <c r="F1344" s="36">
        <v>0.13320000000000001</v>
      </c>
      <c r="G1344" s="36">
        <v>2.6240400000000001E-2</v>
      </c>
      <c r="H1344" s="36">
        <v>5.8500000000000003E-2</v>
      </c>
      <c r="I1344" s="37">
        <v>8.7749999999999998E-3</v>
      </c>
      <c r="J1344" s="32">
        <f t="shared" si="309"/>
        <v>0.13016249999999999</v>
      </c>
      <c r="K1344" s="33">
        <f t="shared" si="312"/>
        <v>1.9524374999999997E-2</v>
      </c>
      <c r="L1344" s="33"/>
      <c r="O1344" s="2">
        <f t="shared" si="314"/>
        <v>2.4375000000000001E-2</v>
      </c>
      <c r="P1344" s="2">
        <f t="shared" si="315"/>
        <v>17.549999999999997</v>
      </c>
      <c r="Q1344" s="7">
        <f t="shared" si="316"/>
        <v>79.483695652173907</v>
      </c>
      <c r="R1344" s="2">
        <v>1.2</v>
      </c>
      <c r="S1344" s="2">
        <f t="shared" si="310"/>
        <v>4.45</v>
      </c>
      <c r="T1344" s="2"/>
      <c r="U1344" s="2"/>
      <c r="Y1344" s="8">
        <f t="shared" si="311"/>
        <v>2.8296195652173908</v>
      </c>
    </row>
    <row r="1345" spans="1:25" ht="30" x14ac:dyDescent="0.25">
      <c r="A1345" s="34">
        <f t="shared" si="322"/>
        <v>1337</v>
      </c>
      <c r="B1345" s="35" t="e">
        <f t="shared" si="322"/>
        <v>#REF!</v>
      </c>
      <c r="C1345" s="42" t="s">
        <v>358</v>
      </c>
      <c r="D1345" s="42" t="s">
        <v>362</v>
      </c>
      <c r="E1345" s="43"/>
      <c r="F1345" s="36">
        <v>0.1215</v>
      </c>
      <c r="G1345" s="36">
        <v>2.3935499999999998E-2</v>
      </c>
      <c r="H1345" s="36">
        <v>5.7500000000000002E-2</v>
      </c>
      <c r="I1345" s="37">
        <v>8.6250000000000007E-3</v>
      </c>
      <c r="J1345" s="32">
        <f t="shared" si="309"/>
        <v>0.12793750000000001</v>
      </c>
      <c r="K1345" s="33">
        <f t="shared" si="312"/>
        <v>1.9190624999999999E-2</v>
      </c>
      <c r="L1345" s="33"/>
      <c r="O1345" s="2">
        <f t="shared" si="314"/>
        <v>2.3958333333333335E-2</v>
      </c>
      <c r="P1345" s="2">
        <f t="shared" si="315"/>
        <v>17.250000000000004</v>
      </c>
      <c r="Q1345" s="7">
        <f t="shared" si="316"/>
        <v>78.125000000000014</v>
      </c>
      <c r="R1345" s="2">
        <v>1.2</v>
      </c>
      <c r="S1345" s="2">
        <f t="shared" si="310"/>
        <v>4.45</v>
      </c>
      <c r="T1345" s="2"/>
      <c r="U1345" s="2"/>
      <c r="Y1345" s="8">
        <f t="shared" si="311"/>
        <v>2.7812500000000004</v>
      </c>
    </row>
    <row r="1346" spans="1:25" ht="45" x14ac:dyDescent="0.25">
      <c r="A1346" s="34">
        <f t="shared" si="322"/>
        <v>1338</v>
      </c>
      <c r="B1346" s="35" t="e">
        <f t="shared" si="322"/>
        <v>#REF!</v>
      </c>
      <c r="C1346" s="42" t="s">
        <v>358</v>
      </c>
      <c r="D1346" s="42" t="s">
        <v>363</v>
      </c>
      <c r="E1346" s="43"/>
      <c r="F1346" s="36">
        <v>0.11940000000000001</v>
      </c>
      <c r="G1346" s="36">
        <v>2.3521799999999999E-2</v>
      </c>
      <c r="H1346" s="36">
        <v>3.0499999999999999E-2</v>
      </c>
      <c r="I1346" s="37">
        <v>4.5750000000000001E-3</v>
      </c>
      <c r="J1346" s="32">
        <f t="shared" si="309"/>
        <v>6.7862500000000006E-2</v>
      </c>
      <c r="K1346" s="33">
        <f t="shared" si="312"/>
        <v>1.0179375000000001E-2</v>
      </c>
      <c r="L1346" s="33"/>
      <c r="O1346" s="2">
        <f t="shared" si="314"/>
        <v>1.2708333333333334E-2</v>
      </c>
      <c r="P1346" s="2">
        <f t="shared" si="315"/>
        <v>9.15</v>
      </c>
      <c r="Q1346" s="7">
        <f t="shared" si="316"/>
        <v>41.440217391304351</v>
      </c>
      <c r="R1346" s="2">
        <v>1.2</v>
      </c>
      <c r="S1346" s="2">
        <f t="shared" si="310"/>
        <v>4.45</v>
      </c>
      <c r="T1346" s="2"/>
      <c r="U1346" s="2"/>
      <c r="Y1346" s="8">
        <f t="shared" si="311"/>
        <v>1.4752717391304349</v>
      </c>
    </row>
    <row r="1347" spans="1:25" ht="30" x14ac:dyDescent="0.25">
      <c r="A1347" s="34">
        <f t="shared" si="322"/>
        <v>1339</v>
      </c>
      <c r="B1347" s="35" t="e">
        <f t="shared" si="322"/>
        <v>#REF!</v>
      </c>
      <c r="C1347" s="42" t="s">
        <v>358</v>
      </c>
      <c r="D1347" s="42" t="s">
        <v>364</v>
      </c>
      <c r="E1347" s="43"/>
      <c r="F1347" s="36">
        <v>0.2611</v>
      </c>
      <c r="G1347" s="36">
        <v>5.1436700000000002E-2</v>
      </c>
      <c r="H1347" s="36">
        <v>6.6600000000000006E-2</v>
      </c>
      <c r="I1347" s="37">
        <v>9.9900000000000006E-3</v>
      </c>
      <c r="J1347" s="32">
        <f t="shared" si="309"/>
        <v>0.14818500000000001</v>
      </c>
      <c r="K1347" s="33">
        <f t="shared" si="312"/>
        <v>2.2227750000000001E-2</v>
      </c>
      <c r="L1347" s="33"/>
      <c r="O1347" s="2">
        <f t="shared" si="314"/>
        <v>2.7750000000000004E-2</v>
      </c>
      <c r="P1347" s="2">
        <f t="shared" si="315"/>
        <v>19.980000000000004</v>
      </c>
      <c r="Q1347" s="7">
        <f t="shared" si="316"/>
        <v>90.489130434782624</v>
      </c>
      <c r="R1347" s="2">
        <v>1.2</v>
      </c>
      <c r="S1347" s="2">
        <f t="shared" si="310"/>
        <v>4.45</v>
      </c>
      <c r="T1347" s="2"/>
      <c r="U1347" s="2"/>
      <c r="Y1347" s="8">
        <f t="shared" si="311"/>
        <v>3.2214130434782611</v>
      </c>
    </row>
    <row r="1348" spans="1:25" ht="45" x14ac:dyDescent="0.25">
      <c r="A1348" s="34">
        <f t="shared" si="322"/>
        <v>1340</v>
      </c>
      <c r="B1348" s="35" t="e">
        <f t="shared" si="322"/>
        <v>#REF!</v>
      </c>
      <c r="C1348" s="42" t="s">
        <v>358</v>
      </c>
      <c r="D1348" s="42" t="s">
        <v>365</v>
      </c>
      <c r="E1348" s="43"/>
      <c r="F1348" s="36">
        <v>0.15160000000000001</v>
      </c>
      <c r="G1348" s="36">
        <v>2.9865200000000001E-2</v>
      </c>
      <c r="H1348" s="36">
        <v>4.19E-2</v>
      </c>
      <c r="I1348" s="37">
        <v>6.2849999999999998E-3</v>
      </c>
      <c r="J1348" s="32">
        <f t="shared" si="309"/>
        <v>9.3227500000000005E-2</v>
      </c>
      <c r="K1348" s="33">
        <f t="shared" si="312"/>
        <v>1.3984125E-2</v>
      </c>
      <c r="L1348" s="33"/>
      <c r="O1348" s="2">
        <f t="shared" si="314"/>
        <v>1.7458333333333333E-2</v>
      </c>
      <c r="P1348" s="2">
        <f t="shared" si="315"/>
        <v>12.57</v>
      </c>
      <c r="Q1348" s="7">
        <f t="shared" si="316"/>
        <v>56.929347826086961</v>
      </c>
      <c r="R1348" s="2">
        <v>1.2</v>
      </c>
      <c r="S1348" s="2">
        <f t="shared" si="310"/>
        <v>4.45</v>
      </c>
      <c r="T1348" s="2"/>
      <c r="U1348" s="2"/>
      <c r="Y1348" s="8">
        <f t="shared" si="311"/>
        <v>2.0266847826086956</v>
      </c>
    </row>
    <row r="1349" spans="1:25" ht="30" x14ac:dyDescent="0.25">
      <c r="A1349" s="34">
        <f t="shared" si="322"/>
        <v>1341</v>
      </c>
      <c r="B1349" s="35" t="e">
        <f t="shared" si="322"/>
        <v>#REF!</v>
      </c>
      <c r="C1349" s="42" t="s">
        <v>358</v>
      </c>
      <c r="D1349" s="42" t="s">
        <v>366</v>
      </c>
      <c r="E1349" s="43"/>
      <c r="F1349" s="36">
        <v>0.1182</v>
      </c>
      <c r="G1349" s="36">
        <v>2.3285400000000001E-2</v>
      </c>
      <c r="H1349" s="36">
        <v>4.7800000000000002E-2</v>
      </c>
      <c r="I1349" s="37">
        <v>7.1700000000000002E-3</v>
      </c>
      <c r="J1349" s="32">
        <f t="shared" si="309"/>
        <v>0.10635500000000001</v>
      </c>
      <c r="K1349" s="33">
        <f t="shared" si="312"/>
        <v>1.5953249999999999E-2</v>
      </c>
      <c r="L1349" s="33"/>
      <c r="O1349" s="2">
        <f t="shared" si="314"/>
        <v>1.9916666666666669E-2</v>
      </c>
      <c r="P1349" s="2">
        <f t="shared" si="315"/>
        <v>14.340000000000003</v>
      </c>
      <c r="Q1349" s="7">
        <f t="shared" si="316"/>
        <v>64.945652173913061</v>
      </c>
      <c r="R1349" s="2">
        <v>1.2</v>
      </c>
      <c r="S1349" s="2">
        <f t="shared" si="310"/>
        <v>4.45</v>
      </c>
      <c r="T1349" s="2"/>
      <c r="U1349" s="2"/>
      <c r="Y1349" s="8">
        <f t="shared" si="311"/>
        <v>2.3120652173913046</v>
      </c>
    </row>
    <row r="1350" spans="1:25" x14ac:dyDescent="0.25">
      <c r="A1350" s="34">
        <f t="shared" si="322"/>
        <v>1342</v>
      </c>
      <c r="B1350" s="35" t="e">
        <f t="shared" si="322"/>
        <v>#REF!</v>
      </c>
      <c r="C1350" s="42" t="s">
        <v>358</v>
      </c>
      <c r="D1350" s="43">
        <v>41</v>
      </c>
      <c r="E1350" s="43"/>
      <c r="F1350" s="36">
        <v>7.8700000000000006E-2</v>
      </c>
      <c r="G1350" s="36">
        <v>1.5503899999999999E-2</v>
      </c>
      <c r="H1350" s="36">
        <v>2.87E-2</v>
      </c>
      <c r="I1350" s="37">
        <v>4.3049999999999998E-3</v>
      </c>
      <c r="J1350" s="32">
        <f t="shared" si="309"/>
        <v>6.3857499999999998E-2</v>
      </c>
      <c r="K1350" s="33">
        <f t="shared" si="312"/>
        <v>9.5786249999999986E-3</v>
      </c>
      <c r="L1350" s="24" t="s">
        <v>16</v>
      </c>
      <c r="O1350" s="2">
        <f t="shared" si="314"/>
        <v>1.1958333333333333E-2</v>
      </c>
      <c r="P1350" s="2">
        <f t="shared" si="315"/>
        <v>8.61</v>
      </c>
      <c r="Q1350" s="7">
        <f t="shared" si="316"/>
        <v>38.994565217391305</v>
      </c>
      <c r="R1350" s="2">
        <v>1.2</v>
      </c>
      <c r="S1350" s="2">
        <f t="shared" si="310"/>
        <v>4.45</v>
      </c>
      <c r="T1350" s="2"/>
      <c r="U1350" s="2"/>
      <c r="Y1350" s="8">
        <f t="shared" si="311"/>
        <v>1.3882065217391304</v>
      </c>
    </row>
    <row r="1351" spans="1:25" x14ac:dyDescent="0.25">
      <c r="A1351" s="34">
        <f t="shared" si="322"/>
        <v>1343</v>
      </c>
      <c r="B1351" s="35" t="e">
        <f t="shared" si="322"/>
        <v>#REF!</v>
      </c>
      <c r="C1351" s="42" t="s">
        <v>358</v>
      </c>
      <c r="D1351" s="43">
        <v>45</v>
      </c>
      <c r="E1351" s="43"/>
      <c r="F1351" s="36">
        <v>8.1500000000000003E-2</v>
      </c>
      <c r="G1351" s="36">
        <v>1.60555E-2</v>
      </c>
      <c r="H1351" s="36">
        <v>3.4599999999999999E-2</v>
      </c>
      <c r="I1351" s="37">
        <v>5.1900000000000002E-3</v>
      </c>
      <c r="J1351" s="32">
        <f t="shared" si="309"/>
        <v>7.6984999999999998E-2</v>
      </c>
      <c r="K1351" s="33">
        <f t="shared" si="312"/>
        <v>1.1547749999999999E-2</v>
      </c>
      <c r="L1351" s="24" t="s">
        <v>16</v>
      </c>
      <c r="O1351" s="2">
        <f t="shared" si="314"/>
        <v>1.4416666666666666E-2</v>
      </c>
      <c r="P1351" s="2">
        <f t="shared" si="315"/>
        <v>10.379999999999999</v>
      </c>
      <c r="Q1351" s="7">
        <f t="shared" si="316"/>
        <v>47.010869565217391</v>
      </c>
      <c r="R1351" s="2">
        <v>1.2</v>
      </c>
      <c r="S1351" s="2">
        <f t="shared" si="310"/>
        <v>4.45</v>
      </c>
      <c r="T1351" s="2"/>
      <c r="U1351" s="2"/>
      <c r="Y1351" s="8">
        <f t="shared" si="311"/>
        <v>1.6735869565217392</v>
      </c>
    </row>
    <row r="1352" spans="1:25" x14ac:dyDescent="0.25">
      <c r="A1352" s="34">
        <f t="shared" si="322"/>
        <v>1344</v>
      </c>
      <c r="B1352" s="35" t="e">
        <f t="shared" si="322"/>
        <v>#REF!</v>
      </c>
      <c r="C1352" s="42" t="s">
        <v>358</v>
      </c>
      <c r="D1352" s="43">
        <v>46</v>
      </c>
      <c r="E1352" s="43"/>
      <c r="F1352" s="36">
        <v>9.8000000000000004E-2</v>
      </c>
      <c r="G1352" s="36">
        <v>1.9306E-2</v>
      </c>
      <c r="H1352" s="36">
        <v>4.5600000000000002E-2</v>
      </c>
      <c r="I1352" s="37">
        <v>6.8399999999999997E-3</v>
      </c>
      <c r="J1352" s="32">
        <f t="shared" si="309"/>
        <v>0.10146000000000002</v>
      </c>
      <c r="K1352" s="33">
        <f t="shared" si="312"/>
        <v>1.5219000000000003E-2</v>
      </c>
      <c r="L1352" s="24" t="s">
        <v>16</v>
      </c>
      <c r="O1352" s="2">
        <f t="shared" si="314"/>
        <v>1.9000000000000003E-2</v>
      </c>
      <c r="P1352" s="2">
        <f t="shared" si="315"/>
        <v>13.680000000000001</v>
      </c>
      <c r="Q1352" s="7">
        <f t="shared" si="316"/>
        <v>61.956521739130444</v>
      </c>
      <c r="R1352" s="2">
        <v>1.2</v>
      </c>
      <c r="S1352" s="2">
        <f t="shared" si="310"/>
        <v>4.45</v>
      </c>
      <c r="T1352" s="2"/>
      <c r="U1352" s="2"/>
      <c r="Y1352" s="8">
        <f t="shared" si="311"/>
        <v>2.2056521739130437</v>
      </c>
    </row>
    <row r="1353" spans="1:25" x14ac:dyDescent="0.25">
      <c r="A1353" s="34">
        <f t="shared" si="322"/>
        <v>1345</v>
      </c>
      <c r="B1353" s="35" t="e">
        <f t="shared" si="322"/>
        <v>#REF!</v>
      </c>
      <c r="C1353" s="42" t="s">
        <v>358</v>
      </c>
      <c r="D1353" s="43">
        <v>47</v>
      </c>
      <c r="E1353" s="43"/>
      <c r="F1353" s="36">
        <v>6.3200000000000006E-2</v>
      </c>
      <c r="G1353" s="36">
        <v>1.24504E-2</v>
      </c>
      <c r="H1353" s="36">
        <v>3.9E-2</v>
      </c>
      <c r="I1353" s="37">
        <v>5.8500000000000002E-3</v>
      </c>
      <c r="J1353" s="32">
        <f t="shared" ref="J1353:J1416" si="323">O1353*R1353*S1353</f>
        <v>8.6775000000000005E-2</v>
      </c>
      <c r="K1353" s="33">
        <f t="shared" si="312"/>
        <v>1.301625E-2</v>
      </c>
      <c r="L1353" s="24" t="s">
        <v>16</v>
      </c>
      <c r="O1353" s="2">
        <f t="shared" si="314"/>
        <v>1.6250000000000001E-2</v>
      </c>
      <c r="P1353" s="2">
        <f t="shared" si="315"/>
        <v>11.700000000000001</v>
      </c>
      <c r="Q1353" s="7">
        <f t="shared" si="316"/>
        <v>52.989130434782616</v>
      </c>
      <c r="R1353" s="2">
        <v>1.2</v>
      </c>
      <c r="S1353" s="2">
        <f t="shared" ref="S1353:S1416" si="324">IF(Q1353&lt;=$AE$6,$AF$6,IF(Q1353&lt;=$AE$7,$AF$7,IF(Q1353&lt;=$AE$8,$AF$8,IF(Q1353&lt;=$AE$9,$AF$9,IF(Q1353&lt;=$AE$10,$AF$10,0)))))</f>
        <v>4.45</v>
      </c>
      <c r="T1353" s="2"/>
      <c r="U1353" s="2"/>
      <c r="Y1353" s="8">
        <f t="shared" ref="Y1353:Y1416" si="325">J1353/46*1000</f>
        <v>1.8864130434782609</v>
      </c>
    </row>
    <row r="1354" spans="1:25" x14ac:dyDescent="0.25">
      <c r="A1354" s="34">
        <f t="shared" si="322"/>
        <v>1346</v>
      </c>
      <c r="B1354" s="35"/>
      <c r="C1354" s="42" t="s">
        <v>358</v>
      </c>
      <c r="D1354" s="43" t="s">
        <v>367</v>
      </c>
      <c r="E1354" s="43"/>
      <c r="F1354" s="36">
        <v>0.12134499999999999</v>
      </c>
      <c r="G1354" s="36">
        <v>2.3904965E-2</v>
      </c>
      <c r="H1354" s="36">
        <v>6.5690000000000002E-3</v>
      </c>
      <c r="I1354" s="37">
        <v>9.8535000000000007E-4</v>
      </c>
      <c r="J1354" s="32">
        <f t="shared" si="323"/>
        <v>1.4616025000000001E-2</v>
      </c>
      <c r="K1354" s="33">
        <f t="shared" ref="K1354:K1417" si="326">J1354*0.15</f>
        <v>2.1924037499999999E-3</v>
      </c>
      <c r="L1354" s="33"/>
      <c r="O1354" s="2">
        <f t="shared" si="314"/>
        <v>2.7370833333333336E-3</v>
      </c>
      <c r="P1354" s="2">
        <f t="shared" si="315"/>
        <v>1.9706999999999999</v>
      </c>
      <c r="Q1354" s="7">
        <f t="shared" si="316"/>
        <v>8.9252717391304337</v>
      </c>
      <c r="R1354" s="2">
        <v>1.2</v>
      </c>
      <c r="S1354" s="2">
        <f t="shared" si="324"/>
        <v>4.45</v>
      </c>
      <c r="T1354" s="2"/>
      <c r="U1354" s="2"/>
      <c r="Y1354" s="8">
        <f t="shared" si="325"/>
        <v>0.31773967391304353</v>
      </c>
    </row>
    <row r="1355" spans="1:25" x14ac:dyDescent="0.25">
      <c r="A1355" s="34">
        <f t="shared" ref="A1355:B1370" si="327">A1354+1</f>
        <v>1347</v>
      </c>
      <c r="B1355" s="35"/>
      <c r="C1355" s="42" t="s">
        <v>358</v>
      </c>
      <c r="D1355" s="43" t="s">
        <v>368</v>
      </c>
      <c r="E1355" s="43"/>
      <c r="F1355" s="36">
        <v>0.1183</v>
      </c>
      <c r="G1355" s="36">
        <v>2.3305099999999999E-2</v>
      </c>
      <c r="H1355" s="36">
        <v>7.4700000000000001E-3</v>
      </c>
      <c r="I1355" s="37">
        <v>1.1205E-3</v>
      </c>
      <c r="J1355" s="32">
        <f t="shared" si="323"/>
        <v>1.662075E-2</v>
      </c>
      <c r="K1355" s="33">
        <f t="shared" si="326"/>
        <v>2.4931124999999998E-3</v>
      </c>
      <c r="L1355" s="33"/>
      <c r="O1355" s="2">
        <f t="shared" ref="O1355:O1418" si="328">H1355/2.4</f>
        <v>3.1125000000000002E-3</v>
      </c>
      <c r="P1355" s="2">
        <f t="shared" ref="P1355:P1418" si="329">O1355*24*30</f>
        <v>2.2410000000000001</v>
      </c>
      <c r="Q1355" s="7">
        <f t="shared" ref="Q1355:Q1418" si="330">P1355/0.2208</f>
        <v>10.149456521739131</v>
      </c>
      <c r="R1355" s="2">
        <v>1.2</v>
      </c>
      <c r="S1355" s="2">
        <f t="shared" si="324"/>
        <v>4.45</v>
      </c>
      <c r="T1355" s="2"/>
      <c r="U1355" s="2"/>
      <c r="Y1355" s="8">
        <f t="shared" si="325"/>
        <v>0.36132065217391307</v>
      </c>
    </row>
    <row r="1356" spans="1:25" x14ac:dyDescent="0.25">
      <c r="A1356" s="34">
        <f t="shared" si="327"/>
        <v>1348</v>
      </c>
      <c r="B1356" s="35" t="e">
        <f>B1353+1</f>
        <v>#REF!</v>
      </c>
      <c r="C1356" s="42" t="s">
        <v>358</v>
      </c>
      <c r="D1356" s="43">
        <v>48</v>
      </c>
      <c r="E1356" s="43"/>
      <c r="F1356" s="36">
        <v>0.1007</v>
      </c>
      <c r="G1356" s="36">
        <v>1.9837899999999999E-2</v>
      </c>
      <c r="H1356" s="36">
        <v>2.87E-2</v>
      </c>
      <c r="I1356" s="37">
        <v>4.3049999999999998E-3</v>
      </c>
      <c r="J1356" s="32">
        <f t="shared" si="323"/>
        <v>6.3857499999999998E-2</v>
      </c>
      <c r="K1356" s="33">
        <f t="shared" si="326"/>
        <v>9.5786249999999986E-3</v>
      </c>
      <c r="L1356" s="33"/>
      <c r="O1356" s="2">
        <f t="shared" si="328"/>
        <v>1.1958333333333333E-2</v>
      </c>
      <c r="P1356" s="2">
        <f t="shared" si="329"/>
        <v>8.61</v>
      </c>
      <c r="Q1356" s="7">
        <f t="shared" si="330"/>
        <v>38.994565217391305</v>
      </c>
      <c r="R1356" s="2">
        <v>1.2</v>
      </c>
      <c r="S1356" s="2">
        <f t="shared" si="324"/>
        <v>4.45</v>
      </c>
      <c r="T1356" s="2"/>
      <c r="U1356" s="2"/>
      <c r="Y1356" s="8">
        <f t="shared" si="325"/>
        <v>1.3882065217391304</v>
      </c>
    </row>
    <row r="1357" spans="1:25" x14ac:dyDescent="0.25">
      <c r="A1357" s="34">
        <f t="shared" si="327"/>
        <v>1349</v>
      </c>
      <c r="B1357" s="35" t="e">
        <f t="shared" si="327"/>
        <v>#REF!</v>
      </c>
      <c r="C1357" s="42" t="s">
        <v>358</v>
      </c>
      <c r="D1357" s="43">
        <v>49</v>
      </c>
      <c r="E1357" s="43"/>
      <c r="F1357" s="36">
        <v>8.3400000000000002E-2</v>
      </c>
      <c r="G1357" s="36">
        <v>1.6429800000000001E-2</v>
      </c>
      <c r="H1357" s="36">
        <v>3.5299999999999998E-2</v>
      </c>
      <c r="I1357" s="37">
        <v>5.2950000000000002E-3</v>
      </c>
      <c r="J1357" s="32">
        <f t="shared" si="323"/>
        <v>7.8542500000000001E-2</v>
      </c>
      <c r="K1357" s="33">
        <f t="shared" si="326"/>
        <v>1.1781375E-2</v>
      </c>
      <c r="L1357" s="24" t="s">
        <v>16</v>
      </c>
      <c r="O1357" s="2">
        <f t="shared" si="328"/>
        <v>1.4708333333333334E-2</v>
      </c>
      <c r="P1357" s="2">
        <f t="shared" si="329"/>
        <v>10.59</v>
      </c>
      <c r="Q1357" s="7">
        <f t="shared" si="330"/>
        <v>47.961956521739133</v>
      </c>
      <c r="R1357" s="2">
        <v>1.2</v>
      </c>
      <c r="S1357" s="2">
        <f t="shared" si="324"/>
        <v>4.45</v>
      </c>
      <c r="T1357" s="2"/>
      <c r="U1357" s="2"/>
      <c r="Y1357" s="8">
        <f t="shared" si="325"/>
        <v>1.7074456521739132</v>
      </c>
    </row>
    <row r="1358" spans="1:25" x14ac:dyDescent="0.25">
      <c r="A1358" s="34">
        <f t="shared" si="327"/>
        <v>1350</v>
      </c>
      <c r="B1358" s="35" t="e">
        <f t="shared" si="327"/>
        <v>#REF!</v>
      </c>
      <c r="C1358" s="42" t="s">
        <v>358</v>
      </c>
      <c r="D1358" s="43">
        <v>50</v>
      </c>
      <c r="E1358" s="43"/>
      <c r="F1358" s="36">
        <v>0.11940000000000001</v>
      </c>
      <c r="G1358" s="36">
        <v>2.3521799999999999E-2</v>
      </c>
      <c r="H1358" s="36">
        <v>9.0800000000000006E-2</v>
      </c>
      <c r="I1358" s="37">
        <v>1.362E-2</v>
      </c>
      <c r="J1358" s="32">
        <f t="shared" si="323"/>
        <v>0.20203000000000002</v>
      </c>
      <c r="K1358" s="33">
        <f t="shared" si="326"/>
        <v>3.0304500000000002E-2</v>
      </c>
      <c r="L1358" s="24" t="s">
        <v>16</v>
      </c>
      <c r="O1358" s="2">
        <f t="shared" si="328"/>
        <v>3.7833333333333337E-2</v>
      </c>
      <c r="P1358" s="2">
        <f t="shared" si="329"/>
        <v>27.240000000000006</v>
      </c>
      <c r="Q1358" s="7">
        <f t="shared" si="330"/>
        <v>123.36956521739133</v>
      </c>
      <c r="R1358" s="2">
        <v>1.2</v>
      </c>
      <c r="S1358" s="2">
        <f t="shared" si="324"/>
        <v>4.45</v>
      </c>
      <c r="T1358" s="2"/>
      <c r="U1358" s="2"/>
      <c r="Y1358" s="8">
        <f t="shared" si="325"/>
        <v>4.3919565217391305</v>
      </c>
    </row>
    <row r="1359" spans="1:25" x14ac:dyDescent="0.25">
      <c r="A1359" s="34">
        <f t="shared" si="327"/>
        <v>1351</v>
      </c>
      <c r="B1359" s="35" t="e">
        <f t="shared" si="327"/>
        <v>#REF!</v>
      </c>
      <c r="C1359" s="42" t="s">
        <v>358</v>
      </c>
      <c r="D1359" s="43">
        <v>51</v>
      </c>
      <c r="E1359" s="43"/>
      <c r="F1359" s="36">
        <v>5.8500000000000003E-2</v>
      </c>
      <c r="G1359" s="36">
        <v>1.15245E-2</v>
      </c>
      <c r="H1359" s="36">
        <v>2.2800000000000001E-2</v>
      </c>
      <c r="I1359" s="37">
        <v>3.4199999999999999E-3</v>
      </c>
      <c r="J1359" s="32">
        <f t="shared" si="323"/>
        <v>5.0730000000000011E-2</v>
      </c>
      <c r="K1359" s="33">
        <f t="shared" si="326"/>
        <v>7.6095000000000017E-3</v>
      </c>
      <c r="L1359" s="24" t="s">
        <v>16</v>
      </c>
      <c r="O1359" s="2">
        <f t="shared" si="328"/>
        <v>9.5000000000000015E-3</v>
      </c>
      <c r="P1359" s="2">
        <f t="shared" si="329"/>
        <v>6.8400000000000007</v>
      </c>
      <c r="Q1359" s="7">
        <f t="shared" si="330"/>
        <v>30.978260869565222</v>
      </c>
      <c r="R1359" s="2">
        <v>1.2</v>
      </c>
      <c r="S1359" s="2">
        <f t="shared" si="324"/>
        <v>4.45</v>
      </c>
      <c r="T1359" s="2"/>
      <c r="U1359" s="2"/>
      <c r="Y1359" s="8">
        <f t="shared" si="325"/>
        <v>1.1028260869565218</v>
      </c>
    </row>
    <row r="1360" spans="1:25" x14ac:dyDescent="0.25">
      <c r="A1360" s="34">
        <f t="shared" si="327"/>
        <v>1352</v>
      </c>
      <c r="B1360" s="35" t="e">
        <f t="shared" si="327"/>
        <v>#REF!</v>
      </c>
      <c r="C1360" s="42" t="s">
        <v>358</v>
      </c>
      <c r="D1360" s="43">
        <v>52</v>
      </c>
      <c r="E1360" s="43"/>
      <c r="F1360" s="36">
        <v>0.26050000000000001</v>
      </c>
      <c r="G1360" s="36">
        <v>5.1318500000000003E-2</v>
      </c>
      <c r="H1360" s="36">
        <v>8.5400000000000004E-2</v>
      </c>
      <c r="I1360" s="37">
        <v>1.281E-2</v>
      </c>
      <c r="J1360" s="32">
        <f t="shared" si="323"/>
        <v>0.19001500000000002</v>
      </c>
      <c r="K1360" s="33">
        <f t="shared" si="326"/>
        <v>2.850225E-2</v>
      </c>
      <c r="L1360" s="33"/>
      <c r="O1360" s="2">
        <f t="shared" si="328"/>
        <v>3.5583333333333335E-2</v>
      </c>
      <c r="P1360" s="2">
        <f t="shared" si="329"/>
        <v>25.620000000000005</v>
      </c>
      <c r="Q1360" s="7">
        <f t="shared" si="330"/>
        <v>116.0326086956522</v>
      </c>
      <c r="R1360" s="2">
        <v>1.2</v>
      </c>
      <c r="S1360" s="2">
        <f t="shared" si="324"/>
        <v>4.45</v>
      </c>
      <c r="T1360" s="2"/>
      <c r="U1360" s="2"/>
      <c r="Y1360" s="8">
        <f t="shared" si="325"/>
        <v>4.1307608695652176</v>
      </c>
    </row>
    <row r="1361" spans="1:25" x14ac:dyDescent="0.25">
      <c r="A1361" s="34">
        <f t="shared" si="327"/>
        <v>1353</v>
      </c>
      <c r="B1361" s="35" t="e">
        <f t="shared" si="327"/>
        <v>#REF!</v>
      </c>
      <c r="C1361" s="42" t="s">
        <v>358</v>
      </c>
      <c r="D1361" s="43">
        <v>53</v>
      </c>
      <c r="E1361" s="43"/>
      <c r="F1361" s="36">
        <v>9.1800000000000007E-2</v>
      </c>
      <c r="G1361" s="36">
        <v>1.8084599999999999E-2</v>
      </c>
      <c r="H1361" s="36">
        <v>3.9699999999999999E-2</v>
      </c>
      <c r="I1361" s="37">
        <v>5.9550000000000002E-3</v>
      </c>
      <c r="J1361" s="32">
        <f t="shared" si="323"/>
        <v>8.8332500000000008E-2</v>
      </c>
      <c r="K1361" s="33">
        <f t="shared" si="326"/>
        <v>1.3249875000000001E-2</v>
      </c>
      <c r="L1361" s="24" t="s">
        <v>16</v>
      </c>
      <c r="O1361" s="2">
        <f t="shared" si="328"/>
        <v>1.6541666666666666E-2</v>
      </c>
      <c r="P1361" s="2">
        <f t="shared" si="329"/>
        <v>11.91</v>
      </c>
      <c r="Q1361" s="7">
        <f t="shared" si="330"/>
        <v>53.940217391304351</v>
      </c>
      <c r="R1361" s="2">
        <v>1.2</v>
      </c>
      <c r="S1361" s="2">
        <f t="shared" si="324"/>
        <v>4.45</v>
      </c>
      <c r="T1361" s="2"/>
      <c r="U1361" s="2"/>
      <c r="Y1361" s="8">
        <f t="shared" si="325"/>
        <v>1.9202717391304349</v>
      </c>
    </row>
    <row r="1362" spans="1:25" x14ac:dyDescent="0.25">
      <c r="A1362" s="34">
        <f t="shared" si="327"/>
        <v>1354</v>
      </c>
      <c r="B1362" s="35" t="e">
        <f t="shared" si="327"/>
        <v>#REF!</v>
      </c>
      <c r="C1362" s="42" t="s">
        <v>358</v>
      </c>
      <c r="D1362" s="43">
        <v>55</v>
      </c>
      <c r="E1362" s="43"/>
      <c r="F1362" s="36">
        <v>5.4699999999999999E-2</v>
      </c>
      <c r="G1362" s="36">
        <v>1.07759E-2</v>
      </c>
      <c r="H1362" s="36">
        <v>2.06E-2</v>
      </c>
      <c r="I1362" s="37">
        <v>3.0899999999999999E-3</v>
      </c>
      <c r="J1362" s="32">
        <f t="shared" si="323"/>
        <v>4.5835000000000001E-2</v>
      </c>
      <c r="K1362" s="33">
        <f t="shared" si="326"/>
        <v>6.8752500000000003E-3</v>
      </c>
      <c r="L1362" s="33"/>
      <c r="O1362" s="2">
        <f t="shared" si="328"/>
        <v>8.5833333333333334E-3</v>
      </c>
      <c r="P1362" s="2">
        <f t="shared" si="329"/>
        <v>6.1800000000000006</v>
      </c>
      <c r="Q1362" s="7">
        <f t="shared" si="330"/>
        <v>27.989130434782613</v>
      </c>
      <c r="R1362" s="2">
        <v>1.2</v>
      </c>
      <c r="S1362" s="2">
        <f t="shared" si="324"/>
        <v>4.45</v>
      </c>
      <c r="T1362" s="2"/>
      <c r="U1362" s="2"/>
      <c r="Y1362" s="8">
        <f t="shared" si="325"/>
        <v>0.99641304347826098</v>
      </c>
    </row>
    <row r="1363" spans="1:25" x14ac:dyDescent="0.25">
      <c r="A1363" s="34">
        <f t="shared" si="327"/>
        <v>1355</v>
      </c>
      <c r="B1363" s="35" t="e">
        <f t="shared" si="327"/>
        <v>#REF!</v>
      </c>
      <c r="C1363" s="42" t="s">
        <v>358</v>
      </c>
      <c r="D1363" s="43">
        <v>59</v>
      </c>
      <c r="E1363" s="43"/>
      <c r="F1363" s="36">
        <v>6.0600000000000001E-2</v>
      </c>
      <c r="G1363" s="36">
        <v>1.19382E-2</v>
      </c>
      <c r="H1363" s="36">
        <v>1.84E-2</v>
      </c>
      <c r="I1363" s="37">
        <v>2.7599999999999999E-3</v>
      </c>
      <c r="J1363" s="32">
        <f t="shared" si="323"/>
        <v>4.0940000000000004E-2</v>
      </c>
      <c r="K1363" s="33">
        <f t="shared" si="326"/>
        <v>6.1410000000000006E-3</v>
      </c>
      <c r="L1363" s="24" t="s">
        <v>16</v>
      </c>
      <c r="O1363" s="2">
        <f t="shared" si="328"/>
        <v>7.6666666666666671E-3</v>
      </c>
      <c r="P1363" s="2">
        <f t="shared" si="329"/>
        <v>5.52</v>
      </c>
      <c r="Q1363" s="7">
        <f t="shared" si="330"/>
        <v>25</v>
      </c>
      <c r="R1363" s="2">
        <v>1.2</v>
      </c>
      <c r="S1363" s="2">
        <f t="shared" si="324"/>
        <v>4.45</v>
      </c>
      <c r="T1363" s="2"/>
      <c r="U1363" s="2"/>
      <c r="Y1363" s="8">
        <f t="shared" si="325"/>
        <v>0.89</v>
      </c>
    </row>
    <row r="1364" spans="1:25" x14ac:dyDescent="0.25">
      <c r="A1364" s="34">
        <f t="shared" si="327"/>
        <v>1356</v>
      </c>
      <c r="B1364" s="35" t="e">
        <f t="shared" si="327"/>
        <v>#REF!</v>
      </c>
      <c r="C1364" s="42" t="s">
        <v>358</v>
      </c>
      <c r="D1364" s="43">
        <v>61</v>
      </c>
      <c r="E1364" s="43"/>
      <c r="F1364" s="36">
        <v>6.0100000000000001E-2</v>
      </c>
      <c r="G1364" s="36">
        <v>1.18397E-2</v>
      </c>
      <c r="H1364" s="36">
        <v>1.9900000000000001E-2</v>
      </c>
      <c r="I1364" s="37">
        <v>2.9849999999999998E-3</v>
      </c>
      <c r="J1364" s="32">
        <f t="shared" si="323"/>
        <v>4.4277500000000004E-2</v>
      </c>
      <c r="K1364" s="33">
        <f t="shared" si="326"/>
        <v>6.6416250000000008E-3</v>
      </c>
      <c r="L1364" s="24" t="s">
        <v>16</v>
      </c>
      <c r="O1364" s="2">
        <f t="shared" si="328"/>
        <v>8.2916666666666677E-3</v>
      </c>
      <c r="P1364" s="2">
        <f t="shared" si="329"/>
        <v>5.9700000000000006</v>
      </c>
      <c r="Q1364" s="7">
        <f t="shared" si="330"/>
        <v>27.038043478260875</v>
      </c>
      <c r="R1364" s="2">
        <v>1.2</v>
      </c>
      <c r="S1364" s="2">
        <f t="shared" si="324"/>
        <v>4.45</v>
      </c>
      <c r="T1364" s="2"/>
      <c r="U1364" s="2"/>
      <c r="Y1364" s="8">
        <f t="shared" si="325"/>
        <v>0.96255434782608706</v>
      </c>
    </row>
    <row r="1365" spans="1:25" x14ac:dyDescent="0.25">
      <c r="A1365" s="34">
        <f t="shared" si="327"/>
        <v>1357</v>
      </c>
      <c r="B1365" s="35" t="e">
        <f t="shared" si="327"/>
        <v>#REF!</v>
      </c>
      <c r="C1365" s="42" t="s">
        <v>358</v>
      </c>
      <c r="D1365" s="43">
        <v>63</v>
      </c>
      <c r="E1365" s="43"/>
      <c r="F1365" s="36">
        <v>9.8500000000000004E-2</v>
      </c>
      <c r="G1365" s="36">
        <v>1.9404500000000002E-2</v>
      </c>
      <c r="H1365" s="36">
        <v>3.9699999999999999E-2</v>
      </c>
      <c r="I1365" s="37">
        <v>5.9550000000000002E-3</v>
      </c>
      <c r="J1365" s="32">
        <f t="shared" si="323"/>
        <v>8.8332500000000008E-2</v>
      </c>
      <c r="K1365" s="33">
        <f t="shared" si="326"/>
        <v>1.3249875000000001E-2</v>
      </c>
      <c r="L1365" s="24" t="s">
        <v>16</v>
      </c>
      <c r="O1365" s="2">
        <f t="shared" si="328"/>
        <v>1.6541666666666666E-2</v>
      </c>
      <c r="P1365" s="2">
        <f t="shared" si="329"/>
        <v>11.91</v>
      </c>
      <c r="Q1365" s="7">
        <f t="shared" si="330"/>
        <v>53.940217391304351</v>
      </c>
      <c r="R1365" s="2">
        <v>1.2</v>
      </c>
      <c r="S1365" s="2">
        <f t="shared" si="324"/>
        <v>4.45</v>
      </c>
      <c r="T1365" s="2"/>
      <c r="U1365" s="2"/>
      <c r="Y1365" s="8">
        <f t="shared" si="325"/>
        <v>1.9202717391304349</v>
      </c>
    </row>
    <row r="1366" spans="1:25" x14ac:dyDescent="0.25">
      <c r="A1366" s="34">
        <f t="shared" si="327"/>
        <v>1358</v>
      </c>
      <c r="B1366" s="35" t="e">
        <f t="shared" si="327"/>
        <v>#REF!</v>
      </c>
      <c r="C1366" s="42" t="s">
        <v>358</v>
      </c>
      <c r="D1366" s="43">
        <v>65</v>
      </c>
      <c r="E1366" s="43"/>
      <c r="F1366" s="36">
        <v>7.9699999999999993E-2</v>
      </c>
      <c r="G1366" s="36">
        <v>1.57009E-2</v>
      </c>
      <c r="H1366" s="36">
        <v>4.2700000000000002E-2</v>
      </c>
      <c r="I1366" s="37">
        <v>6.4050000000000001E-3</v>
      </c>
      <c r="J1366" s="32">
        <f t="shared" si="323"/>
        <v>9.5007500000000009E-2</v>
      </c>
      <c r="K1366" s="33">
        <f t="shared" si="326"/>
        <v>1.4251125E-2</v>
      </c>
      <c r="L1366" s="33"/>
      <c r="O1366" s="2">
        <f t="shared" si="328"/>
        <v>1.7791666666666667E-2</v>
      </c>
      <c r="P1366" s="2">
        <f t="shared" si="329"/>
        <v>12.810000000000002</v>
      </c>
      <c r="Q1366" s="7">
        <f t="shared" si="330"/>
        <v>58.0163043478261</v>
      </c>
      <c r="R1366" s="2">
        <v>1.2</v>
      </c>
      <c r="S1366" s="2">
        <f t="shared" si="324"/>
        <v>4.45</v>
      </c>
      <c r="T1366" s="2"/>
      <c r="U1366" s="2"/>
      <c r="Y1366" s="8">
        <f t="shared" si="325"/>
        <v>2.0653804347826088</v>
      </c>
    </row>
    <row r="1367" spans="1:25" x14ac:dyDescent="0.25">
      <c r="A1367" s="34">
        <f t="shared" si="327"/>
        <v>1359</v>
      </c>
      <c r="B1367" s="35" t="e">
        <f t="shared" si="327"/>
        <v>#REF!</v>
      </c>
      <c r="C1367" s="42" t="s">
        <v>358</v>
      </c>
      <c r="D1367" s="43">
        <v>71</v>
      </c>
      <c r="E1367" s="43"/>
      <c r="F1367" s="36">
        <v>9.98E-2</v>
      </c>
      <c r="G1367" s="36">
        <v>1.96606E-2</v>
      </c>
      <c r="H1367" s="36">
        <v>3.6799999999999999E-2</v>
      </c>
      <c r="I1367" s="37">
        <v>5.5199999999999997E-3</v>
      </c>
      <c r="J1367" s="32">
        <f t="shared" si="323"/>
        <v>8.1880000000000008E-2</v>
      </c>
      <c r="K1367" s="33">
        <f t="shared" si="326"/>
        <v>1.2282000000000001E-2</v>
      </c>
      <c r="L1367" s="33"/>
      <c r="O1367" s="2">
        <f t="shared" si="328"/>
        <v>1.5333333333333334E-2</v>
      </c>
      <c r="P1367" s="2">
        <f t="shared" si="329"/>
        <v>11.04</v>
      </c>
      <c r="Q1367" s="7">
        <f t="shared" si="330"/>
        <v>50</v>
      </c>
      <c r="R1367" s="2">
        <v>1.2</v>
      </c>
      <c r="S1367" s="2">
        <f t="shared" si="324"/>
        <v>4.45</v>
      </c>
      <c r="T1367" s="2"/>
      <c r="U1367" s="2"/>
      <c r="Y1367" s="8">
        <f t="shared" si="325"/>
        <v>1.78</v>
      </c>
    </row>
    <row r="1368" spans="1:25" x14ac:dyDescent="0.25">
      <c r="A1368" s="34">
        <f t="shared" si="327"/>
        <v>1360</v>
      </c>
      <c r="B1368" s="35" t="e">
        <f t="shared" si="327"/>
        <v>#REF!</v>
      </c>
      <c r="C1368" s="42" t="s">
        <v>358</v>
      </c>
      <c r="D1368" s="43">
        <v>73</v>
      </c>
      <c r="E1368" s="43"/>
      <c r="F1368" s="36">
        <v>9.98E-2</v>
      </c>
      <c r="G1368" s="36">
        <v>1.96606E-2</v>
      </c>
      <c r="H1368" s="36">
        <v>6.1699999999999998E-2</v>
      </c>
      <c r="I1368" s="37">
        <v>9.2549999999999993E-3</v>
      </c>
      <c r="J1368" s="32">
        <f t="shared" si="323"/>
        <v>0.1372825</v>
      </c>
      <c r="K1368" s="33">
        <f t="shared" si="326"/>
        <v>2.0592375E-2</v>
      </c>
      <c r="L1368" s="24" t="s">
        <v>16</v>
      </c>
      <c r="O1368" s="2">
        <f t="shared" si="328"/>
        <v>2.5708333333333333E-2</v>
      </c>
      <c r="P1368" s="2">
        <f t="shared" si="329"/>
        <v>18.509999999999998</v>
      </c>
      <c r="Q1368" s="7">
        <f t="shared" si="330"/>
        <v>83.831521739130423</v>
      </c>
      <c r="R1368" s="2">
        <v>1.2</v>
      </c>
      <c r="S1368" s="2">
        <f t="shared" si="324"/>
        <v>4.45</v>
      </c>
      <c r="T1368" s="2"/>
      <c r="U1368" s="2"/>
      <c r="Y1368" s="8">
        <f t="shared" si="325"/>
        <v>2.9844021739130433</v>
      </c>
    </row>
    <row r="1369" spans="1:25" x14ac:dyDescent="0.25">
      <c r="A1369" s="34">
        <f t="shared" si="327"/>
        <v>1361</v>
      </c>
      <c r="B1369" s="35" t="e">
        <f t="shared" si="327"/>
        <v>#REF!</v>
      </c>
      <c r="C1369" s="42" t="s">
        <v>358</v>
      </c>
      <c r="D1369" s="43">
        <v>79</v>
      </c>
      <c r="E1369" s="43"/>
      <c r="F1369" s="36">
        <v>8.3799999999999999E-2</v>
      </c>
      <c r="G1369" s="36">
        <v>1.6508599999999998E-2</v>
      </c>
      <c r="H1369" s="36">
        <v>3.1600000000000003E-2</v>
      </c>
      <c r="I1369" s="37">
        <v>4.7400000000000003E-3</v>
      </c>
      <c r="J1369" s="32">
        <f t="shared" si="323"/>
        <v>7.0310000000000011E-2</v>
      </c>
      <c r="K1369" s="33">
        <f t="shared" si="326"/>
        <v>1.0546500000000002E-2</v>
      </c>
      <c r="L1369" s="24" t="s">
        <v>16</v>
      </c>
      <c r="O1369" s="2">
        <f t="shared" si="328"/>
        <v>1.3166666666666669E-2</v>
      </c>
      <c r="P1369" s="2">
        <f t="shared" si="329"/>
        <v>9.4800000000000022</v>
      </c>
      <c r="Q1369" s="7">
        <f t="shared" si="330"/>
        <v>42.934782608695663</v>
      </c>
      <c r="R1369" s="2">
        <v>1.2</v>
      </c>
      <c r="S1369" s="2">
        <f t="shared" si="324"/>
        <v>4.45</v>
      </c>
      <c r="T1369" s="2"/>
      <c r="U1369" s="2"/>
      <c r="Y1369" s="8">
        <f t="shared" si="325"/>
        <v>1.5284782608695655</v>
      </c>
    </row>
    <row r="1370" spans="1:25" x14ac:dyDescent="0.25">
      <c r="A1370" s="34">
        <f t="shared" si="327"/>
        <v>1362</v>
      </c>
      <c r="B1370" s="35" t="e">
        <f t="shared" si="327"/>
        <v>#REF!</v>
      </c>
      <c r="C1370" s="42" t="s">
        <v>358</v>
      </c>
      <c r="D1370" s="43">
        <v>113</v>
      </c>
      <c r="E1370" s="43"/>
      <c r="F1370" s="36">
        <v>0.1701</v>
      </c>
      <c r="G1370" s="36">
        <v>3.3509700000000003E-2</v>
      </c>
      <c r="H1370" s="36">
        <v>0.1229</v>
      </c>
      <c r="I1370" s="37">
        <v>1.8435E-2</v>
      </c>
      <c r="J1370" s="32">
        <f t="shared" si="323"/>
        <v>0.22736500000000001</v>
      </c>
      <c r="K1370" s="33">
        <f t="shared" si="326"/>
        <v>3.4104750000000003E-2</v>
      </c>
      <c r="L1370" s="33"/>
      <c r="O1370" s="2">
        <f t="shared" si="328"/>
        <v>5.1208333333333335E-2</v>
      </c>
      <c r="P1370" s="2">
        <f t="shared" si="329"/>
        <v>36.870000000000005</v>
      </c>
      <c r="Q1370" s="7">
        <f t="shared" si="330"/>
        <v>166.98369565217394</v>
      </c>
      <c r="R1370" s="2">
        <v>1.2</v>
      </c>
      <c r="S1370" s="2">
        <f t="shared" si="324"/>
        <v>3.7</v>
      </c>
      <c r="T1370" s="2"/>
      <c r="U1370" s="2"/>
      <c r="Y1370" s="8">
        <f t="shared" si="325"/>
        <v>4.9427173913043481</v>
      </c>
    </row>
    <row r="1371" spans="1:25" x14ac:dyDescent="0.25">
      <c r="A1371" s="34">
        <f t="shared" ref="A1371:B1386" si="331">A1370+1</f>
        <v>1363</v>
      </c>
      <c r="B1371" s="35" t="e">
        <f t="shared" si="331"/>
        <v>#REF!</v>
      </c>
      <c r="C1371" s="42" t="s">
        <v>358</v>
      </c>
      <c r="D1371" s="43">
        <v>115</v>
      </c>
      <c r="E1371" s="43"/>
      <c r="F1371" s="36">
        <v>0.1038</v>
      </c>
      <c r="G1371" s="36">
        <v>2.0448600000000001E-2</v>
      </c>
      <c r="H1371" s="36">
        <v>1.7770000000000001E-2</v>
      </c>
      <c r="I1371" s="37">
        <v>2.6654999999999999E-3</v>
      </c>
      <c r="J1371" s="32">
        <f t="shared" si="323"/>
        <v>3.9538250000000004E-2</v>
      </c>
      <c r="K1371" s="33">
        <f t="shared" si="326"/>
        <v>5.9307375000000008E-3</v>
      </c>
      <c r="L1371" s="33"/>
      <c r="O1371" s="2">
        <f t="shared" si="328"/>
        <v>7.4041666666666674E-3</v>
      </c>
      <c r="P1371" s="2">
        <f t="shared" si="329"/>
        <v>5.3310000000000004</v>
      </c>
      <c r="Q1371" s="7">
        <f t="shared" si="330"/>
        <v>24.144021739130437</v>
      </c>
      <c r="R1371" s="2">
        <v>1.2</v>
      </c>
      <c r="S1371" s="2">
        <f t="shared" si="324"/>
        <v>4.45</v>
      </c>
      <c r="T1371" s="2"/>
      <c r="U1371" s="2"/>
      <c r="Y1371" s="8">
        <f t="shared" si="325"/>
        <v>0.85952717391304356</v>
      </c>
    </row>
    <row r="1372" spans="1:25" x14ac:dyDescent="0.25">
      <c r="A1372" s="34">
        <f t="shared" si="331"/>
        <v>1364</v>
      </c>
      <c r="B1372" s="35" t="e">
        <f t="shared" si="331"/>
        <v>#REF!</v>
      </c>
      <c r="C1372" s="42" t="s">
        <v>358</v>
      </c>
      <c r="D1372" s="43" t="s">
        <v>369</v>
      </c>
      <c r="E1372" s="43">
        <v>1</v>
      </c>
      <c r="F1372" s="36">
        <v>8.4099999999999994E-2</v>
      </c>
      <c r="G1372" s="36">
        <v>1.6567700000000001E-2</v>
      </c>
      <c r="H1372" s="36">
        <v>4.8899999999999999E-2</v>
      </c>
      <c r="I1372" s="37">
        <v>7.3350000000000004E-3</v>
      </c>
      <c r="J1372" s="32">
        <f t="shared" si="323"/>
        <v>0.1088025</v>
      </c>
      <c r="K1372" s="33">
        <f t="shared" si="326"/>
        <v>1.6320374999999998E-2</v>
      </c>
      <c r="L1372" s="33"/>
      <c r="O1372" s="2">
        <f t="shared" si="328"/>
        <v>2.0375000000000001E-2</v>
      </c>
      <c r="P1372" s="2">
        <f t="shared" si="329"/>
        <v>14.67</v>
      </c>
      <c r="Q1372" s="7">
        <f t="shared" si="330"/>
        <v>66.440217391304344</v>
      </c>
      <c r="R1372" s="2">
        <v>1.2</v>
      </c>
      <c r="S1372" s="2">
        <f t="shared" si="324"/>
        <v>4.45</v>
      </c>
      <c r="T1372" s="2"/>
      <c r="U1372" s="2"/>
      <c r="Y1372" s="8">
        <f t="shared" si="325"/>
        <v>2.365271739130435</v>
      </c>
    </row>
    <row r="1373" spans="1:25" x14ac:dyDescent="0.25">
      <c r="A1373" s="34">
        <f t="shared" si="331"/>
        <v>1365</v>
      </c>
      <c r="B1373" s="35" t="e">
        <f t="shared" si="331"/>
        <v>#REF!</v>
      </c>
      <c r="C1373" s="42" t="s">
        <v>358</v>
      </c>
      <c r="D1373" s="43" t="s">
        <v>369</v>
      </c>
      <c r="E1373" s="43">
        <v>2</v>
      </c>
      <c r="F1373" s="36">
        <v>8.4099999999999994E-2</v>
      </c>
      <c r="G1373" s="36">
        <v>1.6567700000000001E-2</v>
      </c>
      <c r="H1373" s="36">
        <v>4.8899999999999999E-2</v>
      </c>
      <c r="I1373" s="37">
        <v>7.3350000000000004E-3</v>
      </c>
      <c r="J1373" s="32">
        <f t="shared" si="323"/>
        <v>0.1088025</v>
      </c>
      <c r="K1373" s="33">
        <f t="shared" si="326"/>
        <v>1.6320374999999998E-2</v>
      </c>
      <c r="L1373" s="33"/>
      <c r="O1373" s="2">
        <f t="shared" si="328"/>
        <v>2.0375000000000001E-2</v>
      </c>
      <c r="P1373" s="2">
        <f t="shared" si="329"/>
        <v>14.67</v>
      </c>
      <c r="Q1373" s="7">
        <f t="shared" si="330"/>
        <v>66.440217391304344</v>
      </c>
      <c r="R1373" s="2">
        <v>1.2</v>
      </c>
      <c r="S1373" s="2">
        <f t="shared" si="324"/>
        <v>4.45</v>
      </c>
      <c r="T1373" s="2"/>
      <c r="U1373" s="2"/>
      <c r="Y1373" s="8">
        <f t="shared" si="325"/>
        <v>2.365271739130435</v>
      </c>
    </row>
    <row r="1374" spans="1:25" x14ac:dyDescent="0.25">
      <c r="A1374" s="34">
        <f t="shared" si="331"/>
        <v>1366</v>
      </c>
      <c r="B1374" s="35" t="e">
        <f t="shared" si="331"/>
        <v>#REF!</v>
      </c>
      <c r="C1374" s="42" t="s">
        <v>358</v>
      </c>
      <c r="D1374" s="43">
        <v>117</v>
      </c>
      <c r="E1374" s="43"/>
      <c r="F1374" s="36">
        <v>7.6899999999999996E-2</v>
      </c>
      <c r="G1374" s="36">
        <v>1.5149299999999999E-2</v>
      </c>
      <c r="H1374" s="36">
        <v>0.10829999999999999</v>
      </c>
      <c r="I1374" s="37">
        <v>1.6244999999999999E-2</v>
      </c>
      <c r="J1374" s="32">
        <f t="shared" si="323"/>
        <v>0.2409675</v>
      </c>
      <c r="K1374" s="33">
        <f t="shared" si="326"/>
        <v>3.6145125E-2</v>
      </c>
      <c r="L1374" s="33"/>
      <c r="O1374" s="2">
        <f t="shared" si="328"/>
        <v>4.5124999999999998E-2</v>
      </c>
      <c r="P1374" s="2">
        <f t="shared" si="329"/>
        <v>32.49</v>
      </c>
      <c r="Q1374" s="7">
        <f t="shared" si="330"/>
        <v>147.14673913043478</v>
      </c>
      <c r="R1374" s="2">
        <v>1.2</v>
      </c>
      <c r="S1374" s="2">
        <f t="shared" si="324"/>
        <v>4.45</v>
      </c>
      <c r="T1374" s="2"/>
      <c r="U1374" s="2"/>
      <c r="Y1374" s="8">
        <f t="shared" si="325"/>
        <v>5.2384239130434782</v>
      </c>
    </row>
    <row r="1375" spans="1:25" x14ac:dyDescent="0.25">
      <c r="A1375" s="34">
        <f t="shared" si="331"/>
        <v>1367</v>
      </c>
      <c r="B1375" s="35" t="e">
        <f t="shared" si="331"/>
        <v>#REF!</v>
      </c>
      <c r="C1375" s="42" t="s">
        <v>358</v>
      </c>
      <c r="D1375" s="43">
        <v>119</v>
      </c>
      <c r="E1375" s="43"/>
      <c r="F1375" s="36">
        <v>0.151</v>
      </c>
      <c r="G1375" s="36">
        <v>2.9746999999999999E-2</v>
      </c>
      <c r="H1375" s="36">
        <v>9.6500000000000006E-3</v>
      </c>
      <c r="I1375" s="37">
        <v>1.4475E-3</v>
      </c>
      <c r="J1375" s="32">
        <f t="shared" si="323"/>
        <v>2.1471250000000001E-2</v>
      </c>
      <c r="K1375" s="33">
        <f t="shared" si="326"/>
        <v>3.2206875E-3</v>
      </c>
      <c r="L1375" s="33"/>
      <c r="O1375" s="2">
        <f t="shared" si="328"/>
        <v>4.0208333333333337E-3</v>
      </c>
      <c r="P1375" s="2">
        <f t="shared" si="329"/>
        <v>2.895</v>
      </c>
      <c r="Q1375" s="7">
        <f t="shared" si="330"/>
        <v>13.111413043478262</v>
      </c>
      <c r="R1375" s="2">
        <v>1.2</v>
      </c>
      <c r="S1375" s="2">
        <f t="shared" si="324"/>
        <v>4.45</v>
      </c>
      <c r="T1375" s="2"/>
      <c r="U1375" s="2"/>
      <c r="Y1375" s="8">
        <f t="shared" si="325"/>
        <v>0.46676630434782612</v>
      </c>
    </row>
    <row r="1376" spans="1:25" x14ac:dyDescent="0.25">
      <c r="A1376" s="34">
        <f t="shared" si="331"/>
        <v>1368</v>
      </c>
      <c r="B1376" s="35" t="e">
        <f t="shared" si="331"/>
        <v>#REF!</v>
      </c>
      <c r="C1376" s="42" t="s">
        <v>358</v>
      </c>
      <c r="D1376" s="43">
        <v>125</v>
      </c>
      <c r="E1376" s="43"/>
      <c r="F1376" s="36">
        <v>0.1193</v>
      </c>
      <c r="G1376" s="36">
        <v>2.3502100000000001E-2</v>
      </c>
      <c r="H1376" s="36">
        <v>0.13830000000000001</v>
      </c>
      <c r="I1376" s="37">
        <v>2.0745E-2</v>
      </c>
      <c r="J1376" s="32">
        <f t="shared" si="323"/>
        <v>0.255855</v>
      </c>
      <c r="K1376" s="33">
        <f t="shared" si="326"/>
        <v>3.8378249999999996E-2</v>
      </c>
      <c r="L1376" s="24" t="s">
        <v>16</v>
      </c>
      <c r="O1376" s="2">
        <f t="shared" si="328"/>
        <v>5.7625000000000003E-2</v>
      </c>
      <c r="P1376" s="2">
        <f t="shared" si="329"/>
        <v>41.49</v>
      </c>
      <c r="Q1376" s="7">
        <f t="shared" si="330"/>
        <v>187.90760869565219</v>
      </c>
      <c r="R1376" s="2">
        <v>1.2</v>
      </c>
      <c r="S1376" s="2">
        <f t="shared" si="324"/>
        <v>3.7</v>
      </c>
      <c r="T1376" s="2"/>
      <c r="U1376" s="2"/>
      <c r="Y1376" s="8">
        <f t="shared" si="325"/>
        <v>5.5620652173913046</v>
      </c>
    </row>
    <row r="1377" spans="1:25" x14ac:dyDescent="0.25">
      <c r="A1377" s="34">
        <f t="shared" si="331"/>
        <v>1369</v>
      </c>
      <c r="B1377" s="35" t="e">
        <f t="shared" si="331"/>
        <v>#REF!</v>
      </c>
      <c r="C1377" s="42" t="s">
        <v>358</v>
      </c>
      <c r="D1377" s="43">
        <v>127</v>
      </c>
      <c r="E1377" s="43"/>
      <c r="F1377" s="36">
        <v>0.58530000000000004</v>
      </c>
      <c r="G1377" s="36">
        <v>0.11530410000000001</v>
      </c>
      <c r="H1377" s="36">
        <v>0.25459999999999999</v>
      </c>
      <c r="I1377" s="37">
        <v>3.8190000000000002E-2</v>
      </c>
      <c r="J1377" s="32">
        <f t="shared" si="323"/>
        <v>0.45191499999999996</v>
      </c>
      <c r="K1377" s="33">
        <f t="shared" si="326"/>
        <v>6.7787249999999993E-2</v>
      </c>
      <c r="L1377" s="33"/>
      <c r="O1377" s="2">
        <f t="shared" si="328"/>
        <v>0.10608333333333334</v>
      </c>
      <c r="P1377" s="2">
        <f t="shared" si="329"/>
        <v>76.38000000000001</v>
      </c>
      <c r="Q1377" s="7">
        <f t="shared" si="330"/>
        <v>345.92391304347831</v>
      </c>
      <c r="R1377" s="2">
        <v>1.2</v>
      </c>
      <c r="S1377" s="2">
        <f t="shared" si="324"/>
        <v>3.55</v>
      </c>
      <c r="T1377" s="2"/>
      <c r="U1377" s="2"/>
      <c r="Y1377" s="8">
        <f t="shared" si="325"/>
        <v>9.8242391304347816</v>
      </c>
    </row>
    <row r="1378" spans="1:25" x14ac:dyDescent="0.25">
      <c r="A1378" s="34">
        <f t="shared" si="331"/>
        <v>1370</v>
      </c>
      <c r="B1378" s="35" t="e">
        <f t="shared" si="331"/>
        <v>#REF!</v>
      </c>
      <c r="C1378" s="42" t="s">
        <v>358</v>
      </c>
      <c r="D1378" s="43">
        <v>151</v>
      </c>
      <c r="E1378" s="43"/>
      <c r="F1378" s="36">
        <v>0.1094</v>
      </c>
      <c r="G1378" s="36">
        <v>2.1551799999999999E-2</v>
      </c>
      <c r="H1378" s="36">
        <v>4.7500000000000001E-2</v>
      </c>
      <c r="I1378" s="37">
        <v>7.1250000000000003E-3</v>
      </c>
      <c r="J1378" s="32">
        <f t="shared" si="323"/>
        <v>0.10568750000000002</v>
      </c>
      <c r="K1378" s="33">
        <f t="shared" si="326"/>
        <v>1.5853125000000003E-2</v>
      </c>
      <c r="L1378" s="33"/>
      <c r="O1378" s="2">
        <f t="shared" si="328"/>
        <v>1.9791666666666669E-2</v>
      </c>
      <c r="P1378" s="2">
        <f t="shared" si="329"/>
        <v>14.250000000000004</v>
      </c>
      <c r="Q1378" s="7">
        <f t="shared" si="330"/>
        <v>64.538043478260889</v>
      </c>
      <c r="R1378" s="2">
        <v>1.2</v>
      </c>
      <c r="S1378" s="2">
        <f t="shared" si="324"/>
        <v>4.45</v>
      </c>
      <c r="T1378" s="2"/>
      <c r="U1378" s="2"/>
      <c r="Y1378" s="8">
        <f t="shared" si="325"/>
        <v>2.2975543478260874</v>
      </c>
    </row>
    <row r="1379" spans="1:25" x14ac:dyDescent="0.25">
      <c r="A1379" s="34">
        <f t="shared" si="331"/>
        <v>1371</v>
      </c>
      <c r="B1379" s="35" t="e">
        <f t="shared" si="331"/>
        <v>#REF!</v>
      </c>
      <c r="C1379" s="42" t="s">
        <v>370</v>
      </c>
      <c r="D1379" s="43">
        <v>29</v>
      </c>
      <c r="E1379" s="43"/>
      <c r="F1379" s="36">
        <v>0.21249999999999999</v>
      </c>
      <c r="G1379" s="36">
        <v>4.1862499999999997E-2</v>
      </c>
      <c r="H1379" s="36">
        <v>6.0299999999999999E-2</v>
      </c>
      <c r="I1379" s="37">
        <v>9.0449999999999992E-3</v>
      </c>
      <c r="J1379" s="32">
        <f t="shared" si="323"/>
        <v>0.1341675</v>
      </c>
      <c r="K1379" s="33">
        <f t="shared" si="326"/>
        <v>2.0125124999999997E-2</v>
      </c>
      <c r="L1379" s="33"/>
      <c r="O1379" s="2">
        <f t="shared" si="328"/>
        <v>2.5125000000000001E-2</v>
      </c>
      <c r="P1379" s="2">
        <f t="shared" si="329"/>
        <v>18.09</v>
      </c>
      <c r="Q1379" s="7">
        <f t="shared" si="330"/>
        <v>81.929347826086953</v>
      </c>
      <c r="R1379" s="2">
        <v>1.2</v>
      </c>
      <c r="S1379" s="2">
        <f t="shared" si="324"/>
        <v>4.45</v>
      </c>
      <c r="T1379" s="2"/>
      <c r="U1379" s="2"/>
      <c r="Y1379" s="8">
        <f t="shared" si="325"/>
        <v>2.9166847826086952</v>
      </c>
    </row>
    <row r="1380" spans="1:25" x14ac:dyDescent="0.25">
      <c r="A1380" s="34">
        <f t="shared" si="331"/>
        <v>1372</v>
      </c>
      <c r="B1380" s="35" t="e">
        <f t="shared" si="331"/>
        <v>#REF!</v>
      </c>
      <c r="C1380" s="42" t="s">
        <v>370</v>
      </c>
      <c r="D1380" s="43">
        <v>31</v>
      </c>
      <c r="E1380" s="43"/>
      <c r="F1380" s="36">
        <v>0.21249999999999999</v>
      </c>
      <c r="G1380" s="36">
        <v>4.1862499999999997E-2</v>
      </c>
      <c r="H1380" s="36">
        <v>8.8599999999999998E-2</v>
      </c>
      <c r="I1380" s="37">
        <v>1.329E-2</v>
      </c>
      <c r="J1380" s="32">
        <f t="shared" si="323"/>
        <v>0.197135</v>
      </c>
      <c r="K1380" s="33">
        <f t="shared" si="326"/>
        <v>2.9570249999999999E-2</v>
      </c>
      <c r="L1380" s="33"/>
      <c r="O1380" s="2">
        <f t="shared" si="328"/>
        <v>3.6916666666666667E-2</v>
      </c>
      <c r="P1380" s="2">
        <f t="shared" si="329"/>
        <v>26.580000000000002</v>
      </c>
      <c r="Q1380" s="7">
        <f t="shared" si="330"/>
        <v>120.3804347826087</v>
      </c>
      <c r="R1380" s="2">
        <v>1.2</v>
      </c>
      <c r="S1380" s="2">
        <f t="shared" si="324"/>
        <v>4.45</v>
      </c>
      <c r="T1380" s="2"/>
      <c r="U1380" s="2"/>
      <c r="Y1380" s="8">
        <f t="shared" si="325"/>
        <v>4.2855434782608697</v>
      </c>
    </row>
    <row r="1381" spans="1:25" x14ac:dyDescent="0.25">
      <c r="A1381" s="34">
        <f t="shared" si="331"/>
        <v>1373</v>
      </c>
      <c r="B1381" s="35" t="e">
        <f t="shared" si="331"/>
        <v>#REF!</v>
      </c>
      <c r="C1381" s="42" t="s">
        <v>370</v>
      </c>
      <c r="D1381" s="43">
        <v>33</v>
      </c>
      <c r="E1381" s="43"/>
      <c r="F1381" s="36">
        <v>0.40250000000000002</v>
      </c>
      <c r="G1381" s="36">
        <v>7.9292500000000002E-2</v>
      </c>
      <c r="H1381" s="36">
        <v>0.1236</v>
      </c>
      <c r="I1381" s="37">
        <v>1.8540000000000001E-2</v>
      </c>
      <c r="J1381" s="32">
        <f t="shared" si="323"/>
        <v>0.22866</v>
      </c>
      <c r="K1381" s="33">
        <f t="shared" si="326"/>
        <v>3.4298999999999996E-2</v>
      </c>
      <c r="L1381" s="33"/>
      <c r="O1381" s="2">
        <f t="shared" si="328"/>
        <v>5.1500000000000004E-2</v>
      </c>
      <c r="P1381" s="2">
        <f t="shared" si="329"/>
        <v>37.080000000000005</v>
      </c>
      <c r="Q1381" s="7">
        <f t="shared" si="330"/>
        <v>167.93478260869568</v>
      </c>
      <c r="R1381" s="2">
        <v>1.2</v>
      </c>
      <c r="S1381" s="2">
        <f t="shared" si="324"/>
        <v>3.7</v>
      </c>
      <c r="T1381" s="2"/>
      <c r="U1381" s="2"/>
      <c r="Y1381" s="8">
        <f t="shared" si="325"/>
        <v>4.9708695652173915</v>
      </c>
    </row>
    <row r="1382" spans="1:25" x14ac:dyDescent="0.25">
      <c r="A1382" s="34">
        <f t="shared" si="331"/>
        <v>1374</v>
      </c>
      <c r="B1382" s="35" t="e">
        <f t="shared" si="331"/>
        <v>#REF!</v>
      </c>
      <c r="C1382" s="42" t="s">
        <v>370</v>
      </c>
      <c r="D1382" s="43">
        <v>34</v>
      </c>
      <c r="E1382" s="43"/>
      <c r="F1382" s="36">
        <v>0.16159999999999999</v>
      </c>
      <c r="G1382" s="36">
        <v>3.1835200000000001E-2</v>
      </c>
      <c r="H1382" s="36">
        <v>5.57E-2</v>
      </c>
      <c r="I1382" s="37">
        <v>8.3549999999999996E-3</v>
      </c>
      <c r="J1382" s="32">
        <f t="shared" si="323"/>
        <v>0.1239325</v>
      </c>
      <c r="K1382" s="33">
        <f t="shared" si="326"/>
        <v>1.8589874999999999E-2</v>
      </c>
      <c r="L1382" s="33"/>
      <c r="O1382" s="2">
        <f t="shared" si="328"/>
        <v>2.3208333333333334E-2</v>
      </c>
      <c r="P1382" s="2">
        <f t="shared" si="329"/>
        <v>16.71</v>
      </c>
      <c r="Q1382" s="7">
        <f t="shared" si="330"/>
        <v>75.679347826086968</v>
      </c>
      <c r="R1382" s="2">
        <v>1.2</v>
      </c>
      <c r="S1382" s="2">
        <f t="shared" si="324"/>
        <v>4.45</v>
      </c>
      <c r="T1382" s="2"/>
      <c r="U1382" s="2"/>
      <c r="Y1382" s="8">
        <f t="shared" si="325"/>
        <v>2.694184782608696</v>
      </c>
    </row>
    <row r="1383" spans="1:25" x14ac:dyDescent="0.25">
      <c r="A1383" s="34">
        <f t="shared" si="331"/>
        <v>1375</v>
      </c>
      <c r="B1383" s="35" t="e">
        <f t="shared" si="331"/>
        <v>#REF!</v>
      </c>
      <c r="C1383" s="42" t="s">
        <v>370</v>
      </c>
      <c r="D1383" s="43">
        <v>35</v>
      </c>
      <c r="E1383" s="43"/>
      <c r="F1383" s="36">
        <v>0.21249999999999999</v>
      </c>
      <c r="G1383" s="36">
        <v>4.1862499999999997E-2</v>
      </c>
      <c r="H1383" s="36">
        <v>5.3699999999999998E-2</v>
      </c>
      <c r="I1383" s="37">
        <v>8.0549999999999997E-3</v>
      </c>
      <c r="J1383" s="32">
        <f t="shared" si="323"/>
        <v>0.11948250000000001</v>
      </c>
      <c r="K1383" s="33">
        <f t="shared" si="326"/>
        <v>1.7922375000000001E-2</v>
      </c>
      <c r="L1383" s="33"/>
      <c r="O1383" s="2">
        <f t="shared" si="328"/>
        <v>2.2374999999999999E-2</v>
      </c>
      <c r="P1383" s="2">
        <f t="shared" si="329"/>
        <v>16.11</v>
      </c>
      <c r="Q1383" s="7">
        <f t="shared" si="330"/>
        <v>72.961956521739125</v>
      </c>
      <c r="R1383" s="2">
        <v>1.2</v>
      </c>
      <c r="S1383" s="2">
        <f t="shared" si="324"/>
        <v>4.45</v>
      </c>
      <c r="T1383" s="2"/>
      <c r="U1383" s="2"/>
      <c r="Y1383" s="8">
        <f t="shared" si="325"/>
        <v>2.5974456521739131</v>
      </c>
    </row>
    <row r="1384" spans="1:25" x14ac:dyDescent="0.25">
      <c r="A1384" s="34">
        <f t="shared" si="331"/>
        <v>1376</v>
      </c>
      <c r="B1384" s="35" t="e">
        <f t="shared" si="331"/>
        <v>#REF!</v>
      </c>
      <c r="C1384" s="42" t="s">
        <v>370</v>
      </c>
      <c r="D1384" s="43">
        <v>36</v>
      </c>
      <c r="E1384" s="43"/>
      <c r="F1384" s="36">
        <v>0.15</v>
      </c>
      <c r="G1384" s="36">
        <v>2.955E-2</v>
      </c>
      <c r="H1384" s="36">
        <v>6.1100000000000002E-2</v>
      </c>
      <c r="I1384" s="37">
        <v>9.1649999999999995E-3</v>
      </c>
      <c r="J1384" s="32">
        <f t="shared" si="323"/>
        <v>0.1359475</v>
      </c>
      <c r="K1384" s="33">
        <f t="shared" si="326"/>
        <v>2.0392125000000001E-2</v>
      </c>
      <c r="L1384" s="33"/>
      <c r="O1384" s="2">
        <f t="shared" si="328"/>
        <v>2.5458333333333336E-2</v>
      </c>
      <c r="P1384" s="2">
        <f t="shared" si="329"/>
        <v>18.330000000000002</v>
      </c>
      <c r="Q1384" s="7">
        <f t="shared" si="330"/>
        <v>83.016304347826093</v>
      </c>
      <c r="R1384" s="2">
        <v>1.2</v>
      </c>
      <c r="S1384" s="2">
        <f t="shared" si="324"/>
        <v>4.45</v>
      </c>
      <c r="T1384" s="2"/>
      <c r="U1384" s="2"/>
      <c r="Y1384" s="8">
        <f t="shared" si="325"/>
        <v>2.9553804347826089</v>
      </c>
    </row>
    <row r="1385" spans="1:25" x14ac:dyDescent="0.25">
      <c r="A1385" s="34">
        <f t="shared" si="331"/>
        <v>1377</v>
      </c>
      <c r="B1385" s="35" t="e">
        <f t="shared" si="331"/>
        <v>#REF!</v>
      </c>
      <c r="C1385" s="42" t="s">
        <v>370</v>
      </c>
      <c r="D1385" s="43">
        <v>37</v>
      </c>
      <c r="E1385" s="43"/>
      <c r="F1385" s="36">
        <v>0.4012</v>
      </c>
      <c r="G1385" s="36">
        <v>7.9036400000000007E-2</v>
      </c>
      <c r="H1385" s="36">
        <v>0.1275</v>
      </c>
      <c r="I1385" s="37">
        <v>1.9125E-2</v>
      </c>
      <c r="J1385" s="32">
        <f t="shared" si="323"/>
        <v>0.23587500000000003</v>
      </c>
      <c r="K1385" s="33">
        <f t="shared" si="326"/>
        <v>3.5381250000000003E-2</v>
      </c>
      <c r="L1385" s="33"/>
      <c r="O1385" s="2">
        <f t="shared" si="328"/>
        <v>5.3125000000000006E-2</v>
      </c>
      <c r="P1385" s="2">
        <f t="shared" si="329"/>
        <v>38.250000000000007</v>
      </c>
      <c r="Q1385" s="7">
        <f t="shared" si="330"/>
        <v>173.23369565217394</v>
      </c>
      <c r="R1385" s="2">
        <v>1.2</v>
      </c>
      <c r="S1385" s="2">
        <f t="shared" si="324"/>
        <v>3.7</v>
      </c>
      <c r="T1385" s="2"/>
      <c r="U1385" s="2"/>
      <c r="Y1385" s="8">
        <f t="shared" si="325"/>
        <v>5.1277173913043486</v>
      </c>
    </row>
    <row r="1386" spans="1:25" x14ac:dyDescent="0.25">
      <c r="A1386" s="34">
        <f t="shared" si="331"/>
        <v>1378</v>
      </c>
      <c r="B1386" s="35" t="e">
        <f t="shared" si="331"/>
        <v>#REF!</v>
      </c>
      <c r="C1386" s="42" t="s">
        <v>370</v>
      </c>
      <c r="D1386" s="43" t="s">
        <v>198</v>
      </c>
      <c r="E1386" s="43"/>
      <c r="F1386" s="36">
        <v>0.13700000000000001</v>
      </c>
      <c r="G1386" s="36">
        <v>2.6988999999999999E-2</v>
      </c>
      <c r="H1386" s="36">
        <v>5.6899999999999999E-2</v>
      </c>
      <c r="I1386" s="37">
        <v>8.5349999999999992E-3</v>
      </c>
      <c r="J1386" s="32">
        <f t="shared" si="323"/>
        <v>0.12660250000000001</v>
      </c>
      <c r="K1386" s="33">
        <f t="shared" si="326"/>
        <v>1.8990375E-2</v>
      </c>
      <c r="L1386" s="33"/>
      <c r="O1386" s="2">
        <f t="shared" si="328"/>
        <v>2.3708333333333335E-2</v>
      </c>
      <c r="P1386" s="2">
        <f t="shared" si="329"/>
        <v>17.07</v>
      </c>
      <c r="Q1386" s="7">
        <f t="shared" si="330"/>
        <v>77.309782608695656</v>
      </c>
      <c r="R1386" s="2">
        <v>1.2</v>
      </c>
      <c r="S1386" s="2">
        <f t="shared" si="324"/>
        <v>4.45</v>
      </c>
      <c r="T1386" s="2"/>
      <c r="U1386" s="2"/>
      <c r="Y1386" s="8">
        <f t="shared" si="325"/>
        <v>2.7522282608695652</v>
      </c>
    </row>
    <row r="1387" spans="1:25" x14ac:dyDescent="0.25">
      <c r="A1387" s="34">
        <f t="shared" ref="A1387:B1402" si="332">A1386+1</f>
        <v>1379</v>
      </c>
      <c r="B1387" s="35"/>
      <c r="C1387" s="40" t="s">
        <v>371</v>
      </c>
      <c r="D1387" s="43" t="s">
        <v>372</v>
      </c>
      <c r="E1387" s="43"/>
      <c r="F1387" s="36">
        <v>5.8746E-2</v>
      </c>
      <c r="G1387" s="36">
        <v>1.1572961999999999E-2</v>
      </c>
      <c r="H1387" s="36">
        <v>3.09E-2</v>
      </c>
      <c r="I1387" s="37">
        <f>H1387*0.15</f>
        <v>4.6350000000000002E-3</v>
      </c>
      <c r="J1387" s="32">
        <f t="shared" si="323"/>
        <v>6.8752500000000008E-2</v>
      </c>
      <c r="K1387" s="33">
        <f t="shared" si="326"/>
        <v>1.0312875000000001E-2</v>
      </c>
      <c r="L1387" s="33"/>
      <c r="O1387" s="2">
        <f t="shared" si="328"/>
        <v>1.2875000000000001E-2</v>
      </c>
      <c r="P1387" s="2">
        <f t="shared" si="329"/>
        <v>9.2700000000000014</v>
      </c>
      <c r="Q1387" s="7">
        <f t="shared" si="330"/>
        <v>41.983695652173921</v>
      </c>
      <c r="R1387" s="2">
        <v>1.2</v>
      </c>
      <c r="S1387" s="2">
        <f t="shared" si="324"/>
        <v>4.45</v>
      </c>
      <c r="T1387" s="2"/>
      <c r="U1387" s="2"/>
      <c r="Y1387" s="8">
        <f t="shared" si="325"/>
        <v>1.4946195652173915</v>
      </c>
    </row>
    <row r="1388" spans="1:25" x14ac:dyDescent="0.25">
      <c r="A1388" s="34">
        <f t="shared" si="332"/>
        <v>1380</v>
      </c>
      <c r="B1388" s="35" t="e">
        <f>B1386+1</f>
        <v>#REF!</v>
      </c>
      <c r="C1388" s="40" t="s">
        <v>371</v>
      </c>
      <c r="D1388" s="35">
        <v>69</v>
      </c>
      <c r="E1388" s="35"/>
      <c r="F1388" s="36">
        <v>0.1123</v>
      </c>
      <c r="G1388" s="36">
        <f>F1388*0.197</f>
        <v>2.21231E-2</v>
      </c>
      <c r="H1388" s="36">
        <v>4.6399999999999997E-2</v>
      </c>
      <c r="I1388" s="37">
        <f>H1388*0.15</f>
        <v>6.9599999999999992E-3</v>
      </c>
      <c r="J1388" s="32">
        <f t="shared" si="323"/>
        <v>0.10324000000000001</v>
      </c>
      <c r="K1388" s="33">
        <f t="shared" si="326"/>
        <v>1.5486000000000002E-2</v>
      </c>
      <c r="L1388" s="33"/>
      <c r="O1388" s="2">
        <f t="shared" si="328"/>
        <v>1.9333333333333334E-2</v>
      </c>
      <c r="P1388" s="2">
        <f t="shared" si="329"/>
        <v>13.92</v>
      </c>
      <c r="Q1388" s="7">
        <f t="shared" si="330"/>
        <v>63.043478260869563</v>
      </c>
      <c r="R1388" s="2">
        <v>1.2</v>
      </c>
      <c r="S1388" s="2">
        <f t="shared" si="324"/>
        <v>4.45</v>
      </c>
      <c r="T1388" s="2"/>
      <c r="U1388" s="2"/>
      <c r="Y1388" s="8">
        <f t="shared" si="325"/>
        <v>2.2443478260869569</v>
      </c>
    </row>
    <row r="1389" spans="1:25" x14ac:dyDescent="0.25">
      <c r="A1389" s="34">
        <f t="shared" si="332"/>
        <v>1381</v>
      </c>
      <c r="B1389" s="35" t="e">
        <f t="shared" si="332"/>
        <v>#REF!</v>
      </c>
      <c r="C1389" s="40" t="s">
        <v>371</v>
      </c>
      <c r="D1389" s="35" t="s">
        <v>373</v>
      </c>
      <c r="E1389" s="35"/>
      <c r="F1389" s="36">
        <v>0.16309999999999999</v>
      </c>
      <c r="G1389" s="36">
        <f>F1389*0.197</f>
        <v>3.2130699999999998E-2</v>
      </c>
      <c r="H1389" s="36">
        <v>5.6669999999999998E-2</v>
      </c>
      <c r="I1389" s="37">
        <f>H1389*0.15</f>
        <v>8.5004999999999994E-3</v>
      </c>
      <c r="J1389" s="32">
        <f t="shared" si="323"/>
        <v>0.12609075</v>
      </c>
      <c r="K1389" s="33">
        <f t="shared" si="326"/>
        <v>1.89136125E-2</v>
      </c>
      <c r="L1389" s="33"/>
      <c r="O1389" s="2">
        <f t="shared" si="328"/>
        <v>2.3612500000000002E-2</v>
      </c>
      <c r="P1389" s="2">
        <f t="shared" si="329"/>
        <v>17.000999999999998</v>
      </c>
      <c r="Q1389" s="7">
        <f t="shared" si="330"/>
        <v>76.997282608695642</v>
      </c>
      <c r="R1389" s="2">
        <v>1.2</v>
      </c>
      <c r="S1389" s="2">
        <f t="shared" si="324"/>
        <v>4.45</v>
      </c>
      <c r="T1389" s="2"/>
      <c r="U1389" s="2"/>
      <c r="Y1389" s="8">
        <f t="shared" si="325"/>
        <v>2.7411032608695649</v>
      </c>
    </row>
    <row r="1390" spans="1:25" x14ac:dyDescent="0.25">
      <c r="A1390" s="34">
        <f t="shared" si="332"/>
        <v>1382</v>
      </c>
      <c r="B1390" s="35" t="e">
        <f t="shared" si="332"/>
        <v>#REF!</v>
      </c>
      <c r="C1390" s="40" t="s">
        <v>371</v>
      </c>
      <c r="D1390" s="35" t="s">
        <v>374</v>
      </c>
      <c r="E1390" s="35"/>
      <c r="F1390" s="36">
        <v>9.5710000000000003E-2</v>
      </c>
      <c r="G1390" s="36">
        <f>F1390*0.197</f>
        <v>1.8854870000000003E-2</v>
      </c>
      <c r="H1390" s="36">
        <v>3.6060000000000002E-2</v>
      </c>
      <c r="I1390" s="37">
        <f>H1390*0.15</f>
        <v>5.4089999999999997E-3</v>
      </c>
      <c r="J1390" s="32">
        <f t="shared" si="323"/>
        <v>8.0233500000000013E-2</v>
      </c>
      <c r="K1390" s="33">
        <f t="shared" si="326"/>
        <v>1.2035025000000001E-2</v>
      </c>
      <c r="L1390" s="33"/>
      <c r="O1390" s="2">
        <f t="shared" si="328"/>
        <v>1.5025000000000002E-2</v>
      </c>
      <c r="P1390" s="2">
        <f t="shared" si="329"/>
        <v>10.818000000000001</v>
      </c>
      <c r="Q1390" s="7">
        <f t="shared" si="330"/>
        <v>48.994565217391312</v>
      </c>
      <c r="R1390" s="2">
        <v>1.2</v>
      </c>
      <c r="S1390" s="2">
        <f t="shared" si="324"/>
        <v>4.45</v>
      </c>
      <c r="T1390" s="2"/>
      <c r="U1390" s="2"/>
      <c r="Y1390" s="8">
        <f t="shared" si="325"/>
        <v>1.7442065217391307</v>
      </c>
    </row>
    <row r="1391" spans="1:25" x14ac:dyDescent="0.25">
      <c r="A1391" s="34">
        <f t="shared" si="332"/>
        <v>1383</v>
      </c>
      <c r="B1391" s="35" t="e">
        <f t="shared" si="332"/>
        <v>#REF!</v>
      </c>
      <c r="C1391" s="42" t="s">
        <v>375</v>
      </c>
      <c r="D1391" s="43">
        <v>4</v>
      </c>
      <c r="E1391" s="43">
        <v>1</v>
      </c>
      <c r="F1391" s="36">
        <v>7.9899999999999999E-2</v>
      </c>
      <c r="G1391" s="36">
        <v>1.5740299999999999E-2</v>
      </c>
      <c r="H1391" s="36">
        <v>3.6999999999999998E-2</v>
      </c>
      <c r="I1391" s="37">
        <v>5.5500000000000002E-3</v>
      </c>
      <c r="J1391" s="32">
        <f t="shared" si="323"/>
        <v>8.2324999999999995E-2</v>
      </c>
      <c r="K1391" s="33">
        <f t="shared" si="326"/>
        <v>1.2348749999999999E-2</v>
      </c>
      <c r="L1391" s="33"/>
      <c r="O1391" s="2">
        <f t="shared" si="328"/>
        <v>1.5416666666666667E-2</v>
      </c>
      <c r="P1391" s="2">
        <f t="shared" si="329"/>
        <v>11.1</v>
      </c>
      <c r="Q1391" s="7">
        <f t="shared" si="330"/>
        <v>50.271739130434781</v>
      </c>
      <c r="R1391" s="2">
        <v>1.2</v>
      </c>
      <c r="S1391" s="2">
        <f t="shared" si="324"/>
        <v>4.45</v>
      </c>
      <c r="T1391" s="2"/>
      <c r="U1391" s="2"/>
      <c r="Y1391" s="8">
        <f t="shared" si="325"/>
        <v>1.7896739130434782</v>
      </c>
    </row>
    <row r="1392" spans="1:25" x14ac:dyDescent="0.25">
      <c r="A1392" s="34">
        <f t="shared" si="332"/>
        <v>1384</v>
      </c>
      <c r="B1392" s="35" t="e">
        <f t="shared" si="332"/>
        <v>#REF!</v>
      </c>
      <c r="C1392" s="42" t="s">
        <v>375</v>
      </c>
      <c r="D1392" s="43">
        <v>4</v>
      </c>
      <c r="E1392" s="43">
        <v>2</v>
      </c>
      <c r="F1392" s="36">
        <v>7.9899999999999999E-2</v>
      </c>
      <c r="G1392" s="36">
        <v>1.5740299999999999E-2</v>
      </c>
      <c r="H1392" s="36">
        <v>3.6999999999999998E-2</v>
      </c>
      <c r="I1392" s="37">
        <v>5.5500000000000002E-3</v>
      </c>
      <c r="J1392" s="32">
        <f t="shared" si="323"/>
        <v>8.2324999999999995E-2</v>
      </c>
      <c r="K1392" s="33">
        <f t="shared" si="326"/>
        <v>1.2348749999999999E-2</v>
      </c>
      <c r="L1392" s="33"/>
      <c r="O1392" s="2">
        <f t="shared" si="328"/>
        <v>1.5416666666666667E-2</v>
      </c>
      <c r="P1392" s="2">
        <f t="shared" si="329"/>
        <v>11.1</v>
      </c>
      <c r="Q1392" s="7">
        <f t="shared" si="330"/>
        <v>50.271739130434781</v>
      </c>
      <c r="R1392" s="2">
        <v>1.2</v>
      </c>
      <c r="S1392" s="2">
        <f t="shared" si="324"/>
        <v>4.45</v>
      </c>
      <c r="T1392" s="2"/>
      <c r="U1392" s="2"/>
      <c r="Y1392" s="8">
        <f t="shared" si="325"/>
        <v>1.7896739130434782</v>
      </c>
    </row>
    <row r="1393" spans="1:25" x14ac:dyDescent="0.25">
      <c r="A1393" s="34">
        <f t="shared" si="332"/>
        <v>1385</v>
      </c>
      <c r="B1393" s="35" t="e">
        <f t="shared" si="332"/>
        <v>#REF!</v>
      </c>
      <c r="C1393" s="42" t="s">
        <v>375</v>
      </c>
      <c r="D1393" s="43">
        <v>4</v>
      </c>
      <c r="E1393" s="43">
        <v>3</v>
      </c>
      <c r="F1393" s="36">
        <v>8.5999999999999993E-2</v>
      </c>
      <c r="G1393" s="36">
        <v>1.6941999999999999E-2</v>
      </c>
      <c r="H1393" s="36">
        <v>3.9899999999999998E-2</v>
      </c>
      <c r="I1393" s="37">
        <v>5.9849999999999999E-3</v>
      </c>
      <c r="J1393" s="32">
        <f t="shared" si="323"/>
        <v>8.8777499999999995E-2</v>
      </c>
      <c r="K1393" s="33">
        <f t="shared" si="326"/>
        <v>1.3316624999999999E-2</v>
      </c>
      <c r="L1393" s="33"/>
      <c r="O1393" s="2">
        <f t="shared" si="328"/>
        <v>1.6625000000000001E-2</v>
      </c>
      <c r="P1393" s="2">
        <f t="shared" si="329"/>
        <v>11.97</v>
      </c>
      <c r="Q1393" s="7">
        <f t="shared" si="330"/>
        <v>54.211956521739133</v>
      </c>
      <c r="R1393" s="2">
        <v>1.2</v>
      </c>
      <c r="S1393" s="2">
        <f t="shared" si="324"/>
        <v>4.45</v>
      </c>
      <c r="T1393" s="2"/>
      <c r="U1393" s="2"/>
      <c r="Y1393" s="8">
        <f t="shared" si="325"/>
        <v>1.9299456521739129</v>
      </c>
    </row>
    <row r="1394" spans="1:25" x14ac:dyDescent="0.25">
      <c r="A1394" s="34">
        <f t="shared" si="332"/>
        <v>1386</v>
      </c>
      <c r="B1394" s="35" t="e">
        <f t="shared" si="332"/>
        <v>#REF!</v>
      </c>
      <c r="C1394" s="42" t="s">
        <v>375</v>
      </c>
      <c r="D1394" s="43">
        <v>5</v>
      </c>
      <c r="E1394" s="43"/>
      <c r="F1394" s="36">
        <v>0.11550000000000001</v>
      </c>
      <c r="G1394" s="36">
        <v>2.2753499999999999E-2</v>
      </c>
      <c r="H1394" s="36">
        <v>3.5999999999999997E-2</v>
      </c>
      <c r="I1394" s="37">
        <v>5.4000000000000003E-3</v>
      </c>
      <c r="J1394" s="32">
        <f t="shared" si="323"/>
        <v>8.0099999999999991E-2</v>
      </c>
      <c r="K1394" s="33">
        <f t="shared" si="326"/>
        <v>1.2014999999999998E-2</v>
      </c>
      <c r="L1394" s="33"/>
      <c r="O1394" s="2">
        <f t="shared" si="328"/>
        <v>1.4999999999999999E-2</v>
      </c>
      <c r="P1394" s="2">
        <f t="shared" si="329"/>
        <v>10.799999999999999</v>
      </c>
      <c r="Q1394" s="7">
        <f t="shared" si="330"/>
        <v>48.913043478260867</v>
      </c>
      <c r="R1394" s="2">
        <v>1.2</v>
      </c>
      <c r="S1394" s="2">
        <f t="shared" si="324"/>
        <v>4.45</v>
      </c>
      <c r="T1394" s="2"/>
      <c r="U1394" s="2"/>
      <c r="Y1394" s="8">
        <f t="shared" si="325"/>
        <v>1.7413043478260866</v>
      </c>
    </row>
    <row r="1395" spans="1:25" x14ac:dyDescent="0.25">
      <c r="A1395" s="34">
        <f t="shared" si="332"/>
        <v>1387</v>
      </c>
      <c r="B1395" s="35" t="e">
        <f t="shared" si="332"/>
        <v>#REF!</v>
      </c>
      <c r="C1395" s="42" t="s">
        <v>375</v>
      </c>
      <c r="D1395" s="43">
        <v>6</v>
      </c>
      <c r="E1395" s="43">
        <v>1</v>
      </c>
      <c r="F1395" s="36">
        <v>5.0500000000000003E-2</v>
      </c>
      <c r="G1395" s="36">
        <v>9.9485000000000007E-3</v>
      </c>
      <c r="H1395" s="36">
        <v>2.01E-2</v>
      </c>
      <c r="I1395" s="37">
        <v>3.0149999999999999E-3</v>
      </c>
      <c r="J1395" s="32">
        <f t="shared" si="323"/>
        <v>4.4722499999999998E-2</v>
      </c>
      <c r="K1395" s="33">
        <f t="shared" si="326"/>
        <v>6.7083749999999999E-3</v>
      </c>
      <c r="L1395" s="33"/>
      <c r="O1395" s="2">
        <f t="shared" si="328"/>
        <v>8.3750000000000005E-3</v>
      </c>
      <c r="P1395" s="2">
        <f t="shared" si="329"/>
        <v>6.03</v>
      </c>
      <c r="Q1395" s="7">
        <f t="shared" si="330"/>
        <v>27.309782608695652</v>
      </c>
      <c r="R1395" s="2">
        <v>1.2</v>
      </c>
      <c r="S1395" s="2">
        <f t="shared" si="324"/>
        <v>4.45</v>
      </c>
      <c r="T1395" s="2"/>
      <c r="U1395" s="2"/>
      <c r="Y1395" s="8">
        <f t="shared" si="325"/>
        <v>0.97222826086956526</v>
      </c>
    </row>
    <row r="1396" spans="1:25" x14ac:dyDescent="0.25">
      <c r="A1396" s="34">
        <f t="shared" si="332"/>
        <v>1388</v>
      </c>
      <c r="B1396" s="35" t="e">
        <f t="shared" si="332"/>
        <v>#REF!</v>
      </c>
      <c r="C1396" s="42" t="s">
        <v>375</v>
      </c>
      <c r="D1396" s="43">
        <v>6</v>
      </c>
      <c r="E1396" s="43">
        <v>2</v>
      </c>
      <c r="F1396" s="36">
        <v>5.0500000000000003E-2</v>
      </c>
      <c r="G1396" s="36">
        <v>9.9485000000000007E-3</v>
      </c>
      <c r="H1396" s="36">
        <v>2.01E-2</v>
      </c>
      <c r="I1396" s="37">
        <v>3.0149999999999999E-3</v>
      </c>
      <c r="J1396" s="32">
        <f t="shared" si="323"/>
        <v>4.4722499999999998E-2</v>
      </c>
      <c r="K1396" s="33">
        <f t="shared" si="326"/>
        <v>6.7083749999999999E-3</v>
      </c>
      <c r="L1396" s="33"/>
      <c r="O1396" s="2">
        <f t="shared" si="328"/>
        <v>8.3750000000000005E-3</v>
      </c>
      <c r="P1396" s="2">
        <f t="shared" si="329"/>
        <v>6.03</v>
      </c>
      <c r="Q1396" s="7">
        <f t="shared" si="330"/>
        <v>27.309782608695652</v>
      </c>
      <c r="R1396" s="2">
        <v>1.2</v>
      </c>
      <c r="S1396" s="2">
        <f t="shared" si="324"/>
        <v>4.45</v>
      </c>
      <c r="T1396" s="2"/>
      <c r="U1396" s="2"/>
      <c r="Y1396" s="8">
        <f t="shared" si="325"/>
        <v>0.97222826086956526</v>
      </c>
    </row>
    <row r="1397" spans="1:25" x14ac:dyDescent="0.25">
      <c r="A1397" s="34">
        <f t="shared" si="332"/>
        <v>1389</v>
      </c>
      <c r="B1397" s="35" t="e">
        <f t="shared" si="332"/>
        <v>#REF!</v>
      </c>
      <c r="C1397" s="42" t="s">
        <v>375</v>
      </c>
      <c r="D1397" s="43">
        <v>6</v>
      </c>
      <c r="E1397" s="43">
        <v>3</v>
      </c>
      <c r="F1397" s="36">
        <v>4.8599999999999997E-2</v>
      </c>
      <c r="G1397" s="36">
        <v>9.5741999999999997E-3</v>
      </c>
      <c r="H1397" s="36">
        <v>1.9300000000000001E-2</v>
      </c>
      <c r="I1397" s="37">
        <v>2.895E-3</v>
      </c>
      <c r="J1397" s="32">
        <f t="shared" si="323"/>
        <v>4.2942500000000002E-2</v>
      </c>
      <c r="K1397" s="33">
        <f t="shared" si="326"/>
        <v>6.4413750000000001E-3</v>
      </c>
      <c r="L1397" s="33"/>
      <c r="O1397" s="2">
        <f t="shared" si="328"/>
        <v>8.0416666666666674E-3</v>
      </c>
      <c r="P1397" s="2">
        <f t="shared" si="329"/>
        <v>5.79</v>
      </c>
      <c r="Q1397" s="7">
        <f t="shared" si="330"/>
        <v>26.222826086956523</v>
      </c>
      <c r="R1397" s="2">
        <v>1.2</v>
      </c>
      <c r="S1397" s="2">
        <f t="shared" si="324"/>
        <v>4.45</v>
      </c>
      <c r="T1397" s="2"/>
      <c r="U1397" s="2"/>
      <c r="Y1397" s="8">
        <f t="shared" si="325"/>
        <v>0.93353260869565224</v>
      </c>
    </row>
    <row r="1398" spans="1:25" x14ac:dyDescent="0.25">
      <c r="A1398" s="34">
        <f t="shared" si="332"/>
        <v>1390</v>
      </c>
      <c r="B1398" s="35" t="e">
        <f t="shared" si="332"/>
        <v>#REF!</v>
      </c>
      <c r="C1398" s="42" t="s">
        <v>375</v>
      </c>
      <c r="D1398" s="43">
        <v>7</v>
      </c>
      <c r="E1398" s="43"/>
      <c r="F1398" s="36">
        <v>0.1164</v>
      </c>
      <c r="G1398" s="36">
        <v>2.2930800000000001E-2</v>
      </c>
      <c r="H1398" s="36">
        <v>4.48E-2</v>
      </c>
      <c r="I1398" s="37">
        <v>6.7200000000000003E-3</v>
      </c>
      <c r="J1398" s="32">
        <f t="shared" si="323"/>
        <v>9.9680000000000005E-2</v>
      </c>
      <c r="K1398" s="33">
        <f t="shared" si="326"/>
        <v>1.4952E-2</v>
      </c>
      <c r="L1398" s="33"/>
      <c r="O1398" s="2">
        <f t="shared" si="328"/>
        <v>1.8666666666666668E-2</v>
      </c>
      <c r="P1398" s="2">
        <f t="shared" si="329"/>
        <v>13.440000000000001</v>
      </c>
      <c r="Q1398" s="7">
        <f t="shared" si="330"/>
        <v>60.869565217391312</v>
      </c>
      <c r="R1398" s="2">
        <v>1.2</v>
      </c>
      <c r="S1398" s="2">
        <f t="shared" si="324"/>
        <v>4.45</v>
      </c>
      <c r="T1398" s="2"/>
      <c r="U1398" s="2"/>
      <c r="Y1398" s="8">
        <f t="shared" si="325"/>
        <v>2.1669565217391304</v>
      </c>
    </row>
    <row r="1399" spans="1:25" x14ac:dyDescent="0.25">
      <c r="A1399" s="34">
        <f t="shared" si="332"/>
        <v>1391</v>
      </c>
      <c r="B1399" s="35" t="e">
        <f t="shared" si="332"/>
        <v>#REF!</v>
      </c>
      <c r="C1399" s="42" t="s">
        <v>375</v>
      </c>
      <c r="D1399" s="43">
        <v>8</v>
      </c>
      <c r="E1399" s="43">
        <v>1</v>
      </c>
      <c r="F1399" s="36">
        <v>4.9599999999999998E-2</v>
      </c>
      <c r="G1399" s="36">
        <v>9.7712000000000007E-3</v>
      </c>
      <c r="H1399" s="36">
        <v>1.8599999999999998E-2</v>
      </c>
      <c r="I1399" s="37">
        <v>2.7899999999999999E-3</v>
      </c>
      <c r="J1399" s="32">
        <f t="shared" si="323"/>
        <v>4.1384999999999998E-2</v>
      </c>
      <c r="K1399" s="33">
        <f t="shared" si="326"/>
        <v>6.2077499999999997E-3</v>
      </c>
      <c r="L1399" s="33"/>
      <c r="O1399" s="2">
        <f t="shared" si="328"/>
        <v>7.7499999999999999E-3</v>
      </c>
      <c r="P1399" s="2">
        <f t="shared" si="329"/>
        <v>5.58</v>
      </c>
      <c r="Q1399" s="7">
        <f t="shared" si="330"/>
        <v>25.271739130434785</v>
      </c>
      <c r="R1399" s="2">
        <v>1.2</v>
      </c>
      <c r="S1399" s="2">
        <f t="shared" si="324"/>
        <v>4.45</v>
      </c>
      <c r="T1399" s="2"/>
      <c r="U1399" s="2"/>
      <c r="Y1399" s="8">
        <f t="shared" si="325"/>
        <v>0.89967391304347821</v>
      </c>
    </row>
    <row r="1400" spans="1:25" x14ac:dyDescent="0.25">
      <c r="A1400" s="34">
        <f t="shared" si="332"/>
        <v>1392</v>
      </c>
      <c r="B1400" s="35" t="e">
        <f t="shared" si="332"/>
        <v>#REF!</v>
      </c>
      <c r="C1400" s="42" t="s">
        <v>375</v>
      </c>
      <c r="D1400" s="43">
        <v>8</v>
      </c>
      <c r="E1400" s="43">
        <v>2</v>
      </c>
      <c r="F1400" s="36">
        <v>4.9599999999999998E-2</v>
      </c>
      <c r="G1400" s="36">
        <v>9.7712000000000007E-3</v>
      </c>
      <c r="H1400" s="36">
        <v>1.8599999999999998E-2</v>
      </c>
      <c r="I1400" s="37">
        <v>2.7899999999999999E-3</v>
      </c>
      <c r="J1400" s="32">
        <f t="shared" si="323"/>
        <v>4.1384999999999998E-2</v>
      </c>
      <c r="K1400" s="33">
        <f t="shared" si="326"/>
        <v>6.2077499999999997E-3</v>
      </c>
      <c r="L1400" s="33"/>
      <c r="O1400" s="2">
        <f t="shared" si="328"/>
        <v>7.7499999999999999E-3</v>
      </c>
      <c r="P1400" s="2">
        <f t="shared" si="329"/>
        <v>5.58</v>
      </c>
      <c r="Q1400" s="7">
        <f t="shared" si="330"/>
        <v>25.271739130434785</v>
      </c>
      <c r="R1400" s="2">
        <v>1.2</v>
      </c>
      <c r="S1400" s="2">
        <f t="shared" si="324"/>
        <v>4.45</v>
      </c>
      <c r="T1400" s="2"/>
      <c r="U1400" s="2"/>
      <c r="Y1400" s="8">
        <f t="shared" si="325"/>
        <v>0.89967391304347821</v>
      </c>
    </row>
    <row r="1401" spans="1:25" x14ac:dyDescent="0.25">
      <c r="A1401" s="34">
        <f t="shared" si="332"/>
        <v>1393</v>
      </c>
      <c r="B1401" s="35" t="e">
        <f t="shared" si="332"/>
        <v>#REF!</v>
      </c>
      <c r="C1401" s="42" t="s">
        <v>375</v>
      </c>
      <c r="D1401" s="43">
        <v>8</v>
      </c>
      <c r="E1401" s="43">
        <v>3</v>
      </c>
      <c r="F1401" s="36">
        <v>4.8599999999999997E-2</v>
      </c>
      <c r="G1401" s="36">
        <v>9.5741999999999997E-3</v>
      </c>
      <c r="H1401" s="36">
        <v>1.9359999999999999E-2</v>
      </c>
      <c r="I1401" s="37">
        <v>2.9039999999999999E-3</v>
      </c>
      <c r="J1401" s="32">
        <f t="shared" si="323"/>
        <v>4.3075999999999996E-2</v>
      </c>
      <c r="K1401" s="33">
        <f t="shared" si="326"/>
        <v>6.4613999999999991E-3</v>
      </c>
      <c r="L1401" s="33"/>
      <c r="O1401" s="2">
        <f t="shared" si="328"/>
        <v>8.0666666666666664E-3</v>
      </c>
      <c r="P1401" s="2">
        <f t="shared" si="329"/>
        <v>5.8079999999999998</v>
      </c>
      <c r="Q1401" s="7">
        <f t="shared" si="330"/>
        <v>26.304347826086957</v>
      </c>
      <c r="R1401" s="2">
        <v>1.2</v>
      </c>
      <c r="S1401" s="2">
        <f t="shared" si="324"/>
        <v>4.45</v>
      </c>
      <c r="T1401" s="2"/>
      <c r="U1401" s="2"/>
      <c r="Y1401" s="8">
        <f t="shared" si="325"/>
        <v>0.93643478260869562</v>
      </c>
    </row>
    <row r="1402" spans="1:25" x14ac:dyDescent="0.25">
      <c r="A1402" s="34">
        <f t="shared" si="332"/>
        <v>1394</v>
      </c>
      <c r="B1402" s="35" t="e">
        <f t="shared" si="332"/>
        <v>#REF!</v>
      </c>
      <c r="C1402" s="42" t="s">
        <v>375</v>
      </c>
      <c r="D1402" s="43">
        <v>9</v>
      </c>
      <c r="E1402" s="43"/>
      <c r="F1402" s="36">
        <v>7.0699999999999999E-2</v>
      </c>
      <c r="G1402" s="36">
        <v>1.39279E-2</v>
      </c>
      <c r="H1402" s="36">
        <v>2.2800000000000001E-2</v>
      </c>
      <c r="I1402" s="37">
        <v>3.4199999999999999E-3</v>
      </c>
      <c r="J1402" s="32">
        <f t="shared" si="323"/>
        <v>5.0730000000000011E-2</v>
      </c>
      <c r="K1402" s="33">
        <f t="shared" si="326"/>
        <v>7.6095000000000017E-3</v>
      </c>
      <c r="L1402" s="33"/>
      <c r="O1402" s="2">
        <f t="shared" si="328"/>
        <v>9.5000000000000015E-3</v>
      </c>
      <c r="P1402" s="2">
        <f t="shared" si="329"/>
        <v>6.8400000000000007</v>
      </c>
      <c r="Q1402" s="7">
        <f t="shared" si="330"/>
        <v>30.978260869565222</v>
      </c>
      <c r="R1402" s="2">
        <v>1.2</v>
      </c>
      <c r="S1402" s="2">
        <f t="shared" si="324"/>
        <v>4.45</v>
      </c>
      <c r="T1402" s="2"/>
      <c r="U1402" s="2"/>
      <c r="Y1402" s="8">
        <f t="shared" si="325"/>
        <v>1.1028260869565218</v>
      </c>
    </row>
    <row r="1403" spans="1:25" x14ac:dyDescent="0.25">
      <c r="A1403" s="34">
        <f t="shared" ref="A1403:B1418" si="333">A1402+1</f>
        <v>1395</v>
      </c>
      <c r="B1403" s="35" t="e">
        <f t="shared" si="333"/>
        <v>#REF!</v>
      </c>
      <c r="C1403" s="42" t="s">
        <v>375</v>
      </c>
      <c r="D1403" s="43">
        <v>10</v>
      </c>
      <c r="E1403" s="43"/>
      <c r="F1403" s="36">
        <v>0.1336</v>
      </c>
      <c r="G1403" s="36">
        <v>2.6319200000000001E-2</v>
      </c>
      <c r="H1403" s="36">
        <v>0.10290000000000001</v>
      </c>
      <c r="I1403" s="37">
        <v>1.5435000000000001E-2</v>
      </c>
      <c r="J1403" s="32">
        <f t="shared" si="323"/>
        <v>0.22895250000000003</v>
      </c>
      <c r="K1403" s="33">
        <f t="shared" si="326"/>
        <v>3.4342875000000002E-2</v>
      </c>
      <c r="L1403" s="33"/>
      <c r="O1403" s="2">
        <f t="shared" si="328"/>
        <v>4.2875000000000003E-2</v>
      </c>
      <c r="P1403" s="2">
        <f t="shared" si="329"/>
        <v>30.870000000000005</v>
      </c>
      <c r="Q1403" s="7">
        <f t="shared" si="330"/>
        <v>139.80978260869568</v>
      </c>
      <c r="R1403" s="2">
        <v>1.2</v>
      </c>
      <c r="S1403" s="2">
        <f t="shared" si="324"/>
        <v>4.45</v>
      </c>
      <c r="T1403" s="2"/>
      <c r="U1403" s="2"/>
      <c r="Y1403" s="8">
        <f t="shared" si="325"/>
        <v>4.9772282608695662</v>
      </c>
    </row>
    <row r="1404" spans="1:25" x14ac:dyDescent="0.25">
      <c r="A1404" s="34">
        <f t="shared" si="333"/>
        <v>1396</v>
      </c>
      <c r="B1404" s="35" t="e">
        <f t="shared" si="333"/>
        <v>#REF!</v>
      </c>
      <c r="C1404" s="42" t="s">
        <v>375</v>
      </c>
      <c r="D1404" s="43">
        <v>11</v>
      </c>
      <c r="E1404" s="43"/>
      <c r="F1404" s="36">
        <v>0.16889999999999999</v>
      </c>
      <c r="G1404" s="36">
        <v>3.3273299999999999E-2</v>
      </c>
      <c r="H1404" s="36">
        <v>7.0599999999999996E-2</v>
      </c>
      <c r="I1404" s="37">
        <v>1.059E-2</v>
      </c>
      <c r="J1404" s="32">
        <f t="shared" si="323"/>
        <v>0.157085</v>
      </c>
      <c r="K1404" s="33">
        <f t="shared" si="326"/>
        <v>2.356275E-2</v>
      </c>
      <c r="L1404" s="33"/>
      <c r="O1404" s="2">
        <f t="shared" si="328"/>
        <v>2.9416666666666667E-2</v>
      </c>
      <c r="P1404" s="2">
        <f t="shared" si="329"/>
        <v>21.18</v>
      </c>
      <c r="Q1404" s="7">
        <f t="shared" si="330"/>
        <v>95.923913043478265</v>
      </c>
      <c r="R1404" s="2">
        <v>1.2</v>
      </c>
      <c r="S1404" s="2">
        <f t="shared" si="324"/>
        <v>4.45</v>
      </c>
      <c r="T1404" s="2"/>
      <c r="U1404" s="2"/>
      <c r="Y1404" s="8">
        <f t="shared" si="325"/>
        <v>3.4148913043478264</v>
      </c>
    </row>
    <row r="1405" spans="1:25" x14ac:dyDescent="0.25">
      <c r="A1405" s="34">
        <f t="shared" si="333"/>
        <v>1397</v>
      </c>
      <c r="B1405" s="35" t="e">
        <f t="shared" si="333"/>
        <v>#REF!</v>
      </c>
      <c r="C1405" s="42" t="s">
        <v>375</v>
      </c>
      <c r="D1405" s="43">
        <v>12</v>
      </c>
      <c r="E1405" s="43"/>
      <c r="F1405" s="36">
        <v>0.13270000000000001</v>
      </c>
      <c r="G1405" s="36">
        <v>2.6141899999999999E-2</v>
      </c>
      <c r="H1405" s="36">
        <v>4.9299999999999997E-2</v>
      </c>
      <c r="I1405" s="37">
        <v>7.3949999999999997E-3</v>
      </c>
      <c r="J1405" s="32">
        <f t="shared" si="323"/>
        <v>0.1096925</v>
      </c>
      <c r="K1405" s="33">
        <f t="shared" si="326"/>
        <v>1.6453875E-2</v>
      </c>
      <c r="L1405" s="33"/>
      <c r="O1405" s="2">
        <f t="shared" si="328"/>
        <v>2.0541666666666666E-2</v>
      </c>
      <c r="P1405" s="2">
        <f t="shared" si="329"/>
        <v>14.79</v>
      </c>
      <c r="Q1405" s="7">
        <f t="shared" si="330"/>
        <v>66.983695652173907</v>
      </c>
      <c r="R1405" s="2">
        <v>1.2</v>
      </c>
      <c r="S1405" s="2">
        <f t="shared" si="324"/>
        <v>4.45</v>
      </c>
      <c r="T1405" s="2"/>
      <c r="U1405" s="2"/>
      <c r="Y1405" s="8">
        <f t="shared" si="325"/>
        <v>2.3846195652173914</v>
      </c>
    </row>
    <row r="1406" spans="1:25" x14ac:dyDescent="0.25">
      <c r="A1406" s="34">
        <f t="shared" si="333"/>
        <v>1398</v>
      </c>
      <c r="B1406" s="35" t="e">
        <f t="shared" si="333"/>
        <v>#REF!</v>
      </c>
      <c r="C1406" s="42" t="s">
        <v>375</v>
      </c>
      <c r="D1406" s="43" t="s">
        <v>376</v>
      </c>
      <c r="E1406" s="43"/>
      <c r="F1406" s="36">
        <v>8.1900000000000001E-2</v>
      </c>
      <c r="G1406" s="36">
        <v>1.6134300000000001E-2</v>
      </c>
      <c r="H1406" s="36">
        <v>2.87E-2</v>
      </c>
      <c r="I1406" s="37">
        <v>4.3049999999999998E-3</v>
      </c>
      <c r="J1406" s="32">
        <f t="shared" si="323"/>
        <v>6.3857499999999998E-2</v>
      </c>
      <c r="K1406" s="33">
        <f t="shared" si="326"/>
        <v>9.5786249999999986E-3</v>
      </c>
      <c r="L1406" s="33"/>
      <c r="O1406" s="2">
        <f t="shared" si="328"/>
        <v>1.1958333333333333E-2</v>
      </c>
      <c r="P1406" s="2">
        <f t="shared" si="329"/>
        <v>8.61</v>
      </c>
      <c r="Q1406" s="7">
        <f t="shared" si="330"/>
        <v>38.994565217391305</v>
      </c>
      <c r="R1406" s="2">
        <v>1.2</v>
      </c>
      <c r="S1406" s="2">
        <f t="shared" si="324"/>
        <v>4.45</v>
      </c>
      <c r="T1406" s="2"/>
      <c r="U1406" s="2"/>
      <c r="Y1406" s="8">
        <f t="shared" si="325"/>
        <v>1.3882065217391304</v>
      </c>
    </row>
    <row r="1407" spans="1:25" x14ac:dyDescent="0.25">
      <c r="A1407" s="34">
        <f t="shared" si="333"/>
        <v>1399</v>
      </c>
      <c r="B1407" s="35" t="e">
        <f t="shared" si="333"/>
        <v>#REF!</v>
      </c>
      <c r="C1407" s="42" t="s">
        <v>375</v>
      </c>
      <c r="D1407" s="43" t="s">
        <v>377</v>
      </c>
      <c r="E1407" s="43"/>
      <c r="F1407" s="36">
        <v>0.1671</v>
      </c>
      <c r="G1407" s="36">
        <v>3.2918700000000002E-2</v>
      </c>
      <c r="H1407" s="36">
        <v>7.7200000000000005E-2</v>
      </c>
      <c r="I1407" s="37">
        <v>1.158E-2</v>
      </c>
      <c r="J1407" s="32">
        <f t="shared" si="323"/>
        <v>0.17177000000000001</v>
      </c>
      <c r="K1407" s="33">
        <f t="shared" si="326"/>
        <v>2.57655E-2</v>
      </c>
      <c r="L1407" s="33"/>
      <c r="O1407" s="2">
        <f t="shared" si="328"/>
        <v>3.216666666666667E-2</v>
      </c>
      <c r="P1407" s="2">
        <f t="shared" si="329"/>
        <v>23.16</v>
      </c>
      <c r="Q1407" s="7">
        <f t="shared" si="330"/>
        <v>104.89130434782609</v>
      </c>
      <c r="R1407" s="2">
        <v>1.2</v>
      </c>
      <c r="S1407" s="2">
        <f t="shared" si="324"/>
        <v>4.45</v>
      </c>
      <c r="T1407" s="2"/>
      <c r="U1407" s="2"/>
      <c r="Y1407" s="8">
        <f t="shared" si="325"/>
        <v>3.734130434782609</v>
      </c>
    </row>
    <row r="1408" spans="1:25" x14ac:dyDescent="0.25">
      <c r="A1408" s="34">
        <f t="shared" si="333"/>
        <v>1400</v>
      </c>
      <c r="B1408" s="35" t="e">
        <f t="shared" si="333"/>
        <v>#REF!</v>
      </c>
      <c r="C1408" s="42" t="s">
        <v>375</v>
      </c>
      <c r="D1408" s="43">
        <v>14</v>
      </c>
      <c r="E1408" s="43"/>
      <c r="F1408" s="36">
        <v>0.21490000000000001</v>
      </c>
      <c r="G1408" s="36">
        <v>4.2335299999999999E-2</v>
      </c>
      <c r="H1408" s="36">
        <v>6.9900000000000004E-2</v>
      </c>
      <c r="I1408" s="37">
        <v>1.0485E-2</v>
      </c>
      <c r="J1408" s="32">
        <f t="shared" si="323"/>
        <v>0.15552750000000001</v>
      </c>
      <c r="K1408" s="33">
        <f t="shared" si="326"/>
        <v>2.3329125000000003E-2</v>
      </c>
      <c r="L1408" s="33"/>
      <c r="O1408" s="2">
        <f t="shared" si="328"/>
        <v>2.9125000000000002E-2</v>
      </c>
      <c r="P1408" s="2">
        <f t="shared" si="329"/>
        <v>20.970000000000002</v>
      </c>
      <c r="Q1408" s="7">
        <f t="shared" si="330"/>
        <v>94.97282608695653</v>
      </c>
      <c r="R1408" s="2">
        <v>1.2</v>
      </c>
      <c r="S1408" s="2">
        <f t="shared" si="324"/>
        <v>4.45</v>
      </c>
      <c r="T1408" s="2"/>
      <c r="U1408" s="2"/>
      <c r="Y1408" s="8">
        <f t="shared" si="325"/>
        <v>3.3810326086956524</v>
      </c>
    </row>
    <row r="1409" spans="1:25" x14ac:dyDescent="0.25">
      <c r="A1409" s="34">
        <f t="shared" si="333"/>
        <v>1401</v>
      </c>
      <c r="B1409" s="35" t="e">
        <f t="shared" si="333"/>
        <v>#REF!</v>
      </c>
      <c r="C1409" s="42" t="s">
        <v>375</v>
      </c>
      <c r="D1409" s="43">
        <v>15</v>
      </c>
      <c r="E1409" s="43"/>
      <c r="F1409" s="36">
        <v>0.1598</v>
      </c>
      <c r="G1409" s="36">
        <v>3.1480599999999997E-2</v>
      </c>
      <c r="H1409" s="36">
        <v>5.5199999999999999E-2</v>
      </c>
      <c r="I1409" s="37">
        <v>8.2799999999999992E-3</v>
      </c>
      <c r="J1409" s="32">
        <f t="shared" si="323"/>
        <v>0.12282</v>
      </c>
      <c r="K1409" s="33">
        <f t="shared" si="326"/>
        <v>1.8422999999999998E-2</v>
      </c>
      <c r="L1409" s="33"/>
      <c r="O1409" s="2">
        <f t="shared" si="328"/>
        <v>2.3E-2</v>
      </c>
      <c r="P1409" s="2">
        <f t="shared" si="329"/>
        <v>16.560000000000002</v>
      </c>
      <c r="Q1409" s="7">
        <f t="shared" si="330"/>
        <v>75.000000000000014</v>
      </c>
      <c r="R1409" s="2">
        <v>1.2</v>
      </c>
      <c r="S1409" s="2">
        <f t="shared" si="324"/>
        <v>4.45</v>
      </c>
      <c r="T1409" s="2"/>
      <c r="U1409" s="2"/>
      <c r="Y1409" s="8">
        <f t="shared" si="325"/>
        <v>2.67</v>
      </c>
    </row>
    <row r="1410" spans="1:25" x14ac:dyDescent="0.25">
      <c r="A1410" s="34">
        <f t="shared" si="333"/>
        <v>1402</v>
      </c>
      <c r="B1410" s="35" t="e">
        <f t="shared" si="333"/>
        <v>#REF!</v>
      </c>
      <c r="C1410" s="42" t="s">
        <v>375</v>
      </c>
      <c r="D1410" s="43" t="s">
        <v>31</v>
      </c>
      <c r="E1410" s="43"/>
      <c r="F1410" s="36">
        <v>9.1700000000000004E-2</v>
      </c>
      <c r="G1410" s="36">
        <v>1.8064899999999998E-2</v>
      </c>
      <c r="H1410" s="36">
        <v>2.9399999999999999E-2</v>
      </c>
      <c r="I1410" s="37">
        <v>4.4099999999999999E-3</v>
      </c>
      <c r="J1410" s="32">
        <f t="shared" si="323"/>
        <v>6.5415000000000001E-2</v>
      </c>
      <c r="K1410" s="33">
        <f t="shared" si="326"/>
        <v>9.8122499999999998E-3</v>
      </c>
      <c r="L1410" s="33"/>
      <c r="O1410" s="2">
        <f t="shared" si="328"/>
        <v>1.225E-2</v>
      </c>
      <c r="P1410" s="2">
        <f t="shared" si="329"/>
        <v>8.82</v>
      </c>
      <c r="Q1410" s="7">
        <f t="shared" si="330"/>
        <v>39.945652173913047</v>
      </c>
      <c r="R1410" s="2">
        <v>1.2</v>
      </c>
      <c r="S1410" s="2">
        <f t="shared" si="324"/>
        <v>4.45</v>
      </c>
      <c r="T1410" s="2"/>
      <c r="U1410" s="2"/>
      <c r="Y1410" s="8">
        <f t="shared" si="325"/>
        <v>1.4220652173913042</v>
      </c>
    </row>
    <row r="1411" spans="1:25" x14ac:dyDescent="0.25">
      <c r="A1411" s="34">
        <f t="shared" si="333"/>
        <v>1403</v>
      </c>
      <c r="B1411" s="35" t="e">
        <f t="shared" si="333"/>
        <v>#REF!</v>
      </c>
      <c r="C1411" s="40" t="s">
        <v>378</v>
      </c>
      <c r="D1411" s="35">
        <v>100</v>
      </c>
      <c r="E1411" s="35"/>
      <c r="F1411" s="36">
        <v>0.1583</v>
      </c>
      <c r="G1411" s="36">
        <f>F1411*0.197</f>
        <v>3.11851E-2</v>
      </c>
      <c r="H1411" s="36">
        <v>5.8099999999999999E-2</v>
      </c>
      <c r="I1411" s="37">
        <f>H1411*0.15</f>
        <v>8.7149999999999988E-3</v>
      </c>
      <c r="J1411" s="32">
        <f t="shared" si="323"/>
        <v>0.12927250000000001</v>
      </c>
      <c r="K1411" s="33">
        <f t="shared" si="326"/>
        <v>1.9390875000000002E-2</v>
      </c>
      <c r="L1411" s="33"/>
      <c r="O1411" s="2">
        <f t="shared" si="328"/>
        <v>2.4208333333333335E-2</v>
      </c>
      <c r="P1411" s="2">
        <f t="shared" si="329"/>
        <v>17.430000000000003</v>
      </c>
      <c r="Q1411" s="7">
        <f t="shared" si="330"/>
        <v>78.940217391304358</v>
      </c>
      <c r="R1411" s="2">
        <v>1.2</v>
      </c>
      <c r="S1411" s="2">
        <f t="shared" si="324"/>
        <v>4.45</v>
      </c>
      <c r="T1411" s="2"/>
      <c r="U1411" s="2"/>
      <c r="Y1411" s="8">
        <f t="shared" si="325"/>
        <v>2.8102717391304348</v>
      </c>
    </row>
    <row r="1412" spans="1:25" x14ac:dyDescent="0.25">
      <c r="A1412" s="34">
        <f t="shared" si="333"/>
        <v>1404</v>
      </c>
      <c r="B1412" s="35" t="e">
        <f>#REF!+1</f>
        <v>#REF!</v>
      </c>
      <c r="C1412" s="42" t="s">
        <v>379</v>
      </c>
      <c r="D1412" s="43">
        <v>53</v>
      </c>
      <c r="E1412" s="43"/>
      <c r="F1412" s="36">
        <v>0.16539999999999999</v>
      </c>
      <c r="G1412" s="36">
        <v>3.2583800000000003E-2</v>
      </c>
      <c r="H1412" s="36">
        <v>9.9360000000000004E-2</v>
      </c>
      <c r="I1412" s="37">
        <f>H1412*0.15</f>
        <v>1.4904000000000001E-2</v>
      </c>
      <c r="J1412" s="32">
        <f t="shared" si="323"/>
        <v>0.22107600000000005</v>
      </c>
      <c r="K1412" s="33">
        <f t="shared" si="326"/>
        <v>3.3161400000000008E-2</v>
      </c>
      <c r="L1412" s="33"/>
      <c r="O1412" s="2">
        <f t="shared" si="328"/>
        <v>4.1400000000000006E-2</v>
      </c>
      <c r="P1412" s="2">
        <f t="shared" si="329"/>
        <v>29.808000000000003</v>
      </c>
      <c r="Q1412" s="7">
        <f t="shared" si="330"/>
        <v>135.00000000000003</v>
      </c>
      <c r="R1412" s="2">
        <v>1.2</v>
      </c>
      <c r="S1412" s="2">
        <f t="shared" si="324"/>
        <v>4.45</v>
      </c>
      <c r="T1412" s="2"/>
      <c r="U1412" s="2"/>
      <c r="Y1412" s="8">
        <f t="shared" si="325"/>
        <v>4.8060000000000009</v>
      </c>
    </row>
    <row r="1413" spans="1:25" x14ac:dyDescent="0.25">
      <c r="A1413" s="34">
        <f t="shared" si="333"/>
        <v>1405</v>
      </c>
      <c r="B1413" s="35">
        <v>1</v>
      </c>
      <c r="C1413" s="50" t="s">
        <v>380</v>
      </c>
      <c r="D1413" s="51">
        <v>285</v>
      </c>
      <c r="E1413" s="51"/>
      <c r="F1413" s="36">
        <v>0.143426</v>
      </c>
      <c r="G1413" s="36">
        <f>F1413*0.197</f>
        <v>2.8254922000000002E-2</v>
      </c>
      <c r="H1413" s="36">
        <v>5.2993999999999999E-2</v>
      </c>
      <c r="I1413" s="37">
        <f>H1413*0.15</f>
        <v>7.9490999999999989E-3</v>
      </c>
      <c r="J1413" s="32">
        <f t="shared" si="323"/>
        <v>0.11791165000000001</v>
      </c>
      <c r="K1413" s="33">
        <f t="shared" si="326"/>
        <v>1.7686747499999999E-2</v>
      </c>
      <c r="L1413" s="33"/>
      <c r="O1413" s="2">
        <f t="shared" si="328"/>
        <v>2.2080833333333334E-2</v>
      </c>
      <c r="P1413" s="2">
        <f t="shared" si="329"/>
        <v>15.898200000000003</v>
      </c>
      <c r="Q1413" s="7">
        <f t="shared" si="330"/>
        <v>72.002717391304358</v>
      </c>
      <c r="R1413" s="2">
        <v>1.2</v>
      </c>
      <c r="S1413" s="2">
        <f t="shared" si="324"/>
        <v>4.45</v>
      </c>
      <c r="T1413" s="2"/>
      <c r="U1413" s="2"/>
      <c r="Y1413" s="8">
        <f t="shared" si="325"/>
        <v>2.5632967391304349</v>
      </c>
    </row>
    <row r="1414" spans="1:25" x14ac:dyDescent="0.25">
      <c r="A1414" s="34">
        <f t="shared" si="333"/>
        <v>1406</v>
      </c>
      <c r="B1414" s="35">
        <f>B1413+1</f>
        <v>2</v>
      </c>
      <c r="C1414" s="50" t="s">
        <v>381</v>
      </c>
      <c r="D1414" s="51">
        <v>9</v>
      </c>
      <c r="E1414" s="51"/>
      <c r="F1414" s="36">
        <f ca="1">SUM(F1414:F1414)</f>
        <v>0.28784999999999999</v>
      </c>
      <c r="G1414" s="36">
        <f ca="1">SUM(G1414:G1414)</f>
        <v>5.6706449999999999E-2</v>
      </c>
      <c r="H1414" s="36">
        <v>0.12273000000000001</v>
      </c>
      <c r="I1414" s="37">
        <f ca="1">SUM(I1414:I1414)</f>
        <v>1.8409499999999999E-2</v>
      </c>
      <c r="J1414" s="32">
        <f t="shared" si="323"/>
        <v>0.22705050000000002</v>
      </c>
      <c r="K1414" s="33">
        <f t="shared" si="326"/>
        <v>3.4057575E-2</v>
      </c>
      <c r="L1414" s="33"/>
      <c r="O1414" s="2">
        <f t="shared" si="328"/>
        <v>5.1137500000000002E-2</v>
      </c>
      <c r="P1414" s="2">
        <f t="shared" si="329"/>
        <v>36.819000000000003</v>
      </c>
      <c r="Q1414" s="7">
        <f t="shared" si="330"/>
        <v>166.75271739130437</v>
      </c>
      <c r="R1414" s="2">
        <v>1.2</v>
      </c>
      <c r="S1414" s="2">
        <f t="shared" si="324"/>
        <v>3.7</v>
      </c>
      <c r="T1414" s="2"/>
      <c r="U1414" s="2"/>
      <c r="Y1414" s="8">
        <f t="shared" si="325"/>
        <v>4.9358804347826091</v>
      </c>
    </row>
    <row r="1415" spans="1:25" x14ac:dyDescent="0.25">
      <c r="A1415" s="34">
        <f t="shared" si="333"/>
        <v>1407</v>
      </c>
      <c r="B1415" s="35">
        <f>B1414+1</f>
        <v>3</v>
      </c>
      <c r="C1415" s="50" t="s">
        <v>381</v>
      </c>
      <c r="D1415" s="51">
        <v>11</v>
      </c>
      <c r="E1415" s="51"/>
      <c r="F1415" s="36">
        <v>0.20283999999999999</v>
      </c>
      <c r="G1415" s="36">
        <f>F1415*0.197</f>
        <v>3.9959479999999999E-2</v>
      </c>
      <c r="H1415" s="36">
        <v>0.10378</v>
      </c>
      <c r="I1415" s="37">
        <f>H1415*0.15</f>
        <v>1.5566999999999999E-2</v>
      </c>
      <c r="J1415" s="32">
        <f t="shared" si="323"/>
        <v>0.23091049999999999</v>
      </c>
      <c r="K1415" s="33">
        <f t="shared" si="326"/>
        <v>3.4636574999999996E-2</v>
      </c>
      <c r="L1415" s="33"/>
      <c r="O1415" s="2">
        <f t="shared" si="328"/>
        <v>4.3241666666666664E-2</v>
      </c>
      <c r="P1415" s="2">
        <f t="shared" si="329"/>
        <v>31.133999999999993</v>
      </c>
      <c r="Q1415" s="7">
        <f t="shared" si="330"/>
        <v>141.00543478260866</v>
      </c>
      <c r="R1415" s="2">
        <v>1.2</v>
      </c>
      <c r="S1415" s="2">
        <f t="shared" si="324"/>
        <v>4.45</v>
      </c>
      <c r="T1415" s="2"/>
      <c r="U1415" s="2"/>
      <c r="Y1415" s="8">
        <f t="shared" si="325"/>
        <v>5.0197934782608691</v>
      </c>
    </row>
    <row r="1416" spans="1:25" x14ac:dyDescent="0.25">
      <c r="A1416" s="34">
        <f t="shared" si="333"/>
        <v>1408</v>
      </c>
      <c r="B1416" s="35">
        <f t="shared" si="333"/>
        <v>4</v>
      </c>
      <c r="C1416" s="50" t="s">
        <v>381</v>
      </c>
      <c r="D1416" s="51">
        <v>24</v>
      </c>
      <c r="E1416" s="51"/>
      <c r="F1416" s="36">
        <v>0.23003999999999999</v>
      </c>
      <c r="G1416" s="36">
        <f>F1416*0.197</f>
        <v>4.5317879999999998E-2</v>
      </c>
      <c r="H1416" s="36">
        <v>0.1041</v>
      </c>
      <c r="I1416" s="37">
        <f>H1416*0.15</f>
        <v>1.5614999999999999E-2</v>
      </c>
      <c r="J1416" s="32">
        <f t="shared" si="323"/>
        <v>0.23162250000000004</v>
      </c>
      <c r="K1416" s="33">
        <f t="shared" si="326"/>
        <v>3.4743375000000007E-2</v>
      </c>
      <c r="L1416" s="33"/>
      <c r="O1416" s="2">
        <f t="shared" si="328"/>
        <v>4.3375000000000004E-2</v>
      </c>
      <c r="P1416" s="2">
        <f t="shared" si="329"/>
        <v>31.230000000000004</v>
      </c>
      <c r="Q1416" s="7">
        <f t="shared" si="330"/>
        <v>141.44021739130437</v>
      </c>
      <c r="R1416" s="2">
        <v>1.2</v>
      </c>
      <c r="S1416" s="2">
        <f t="shared" si="324"/>
        <v>4.45</v>
      </c>
      <c r="T1416" s="2"/>
      <c r="U1416" s="2"/>
      <c r="Y1416" s="8">
        <f t="shared" si="325"/>
        <v>5.0352717391304358</v>
      </c>
    </row>
    <row r="1417" spans="1:25" x14ac:dyDescent="0.25">
      <c r="A1417" s="34">
        <f t="shared" si="333"/>
        <v>1409</v>
      </c>
      <c r="B1417" s="35">
        <f t="shared" si="333"/>
        <v>5</v>
      </c>
      <c r="C1417" s="50" t="s">
        <v>381</v>
      </c>
      <c r="D1417" s="51">
        <v>49</v>
      </c>
      <c r="E1417" s="51">
        <v>1</v>
      </c>
      <c r="F1417" s="36">
        <v>5.6910000000000002E-2</v>
      </c>
      <c r="G1417" s="36">
        <v>1.1209999999999999E-2</v>
      </c>
      <c r="H1417" s="36">
        <v>3.4139999999999997E-2</v>
      </c>
      <c r="I1417" s="37">
        <v>5.1200000000000002E-2</v>
      </c>
      <c r="J1417" s="32">
        <f t="shared" ref="J1417:J1480" si="334">O1417*R1417*S1417</f>
        <v>7.5961500000000001E-2</v>
      </c>
      <c r="K1417" s="33">
        <f t="shared" si="326"/>
        <v>1.1394224999999999E-2</v>
      </c>
      <c r="L1417" s="33"/>
      <c r="O1417" s="2">
        <f t="shared" si="328"/>
        <v>1.4225E-2</v>
      </c>
      <c r="P1417" s="2">
        <f t="shared" si="329"/>
        <v>10.241999999999999</v>
      </c>
      <c r="Q1417" s="7">
        <f t="shared" si="330"/>
        <v>46.385869565217391</v>
      </c>
      <c r="R1417" s="2">
        <v>1.2</v>
      </c>
      <c r="S1417" s="2">
        <f t="shared" ref="S1417:S1480" si="335">IF(Q1417&lt;=$AE$6,$AF$6,IF(Q1417&lt;=$AE$7,$AF$7,IF(Q1417&lt;=$AE$8,$AF$8,IF(Q1417&lt;=$AE$9,$AF$9,IF(Q1417&lt;=$AE$10,$AF$10,0)))))</f>
        <v>4.45</v>
      </c>
      <c r="T1417" s="2"/>
      <c r="U1417" s="2"/>
      <c r="Y1417" s="8">
        <f t="shared" ref="Y1417:Y1480" si="336">J1417/46*1000</f>
        <v>1.6513369565217393</v>
      </c>
    </row>
    <row r="1418" spans="1:25" x14ac:dyDescent="0.25">
      <c r="A1418" s="34">
        <f t="shared" si="333"/>
        <v>1410</v>
      </c>
      <c r="B1418" s="35">
        <f t="shared" si="333"/>
        <v>6</v>
      </c>
      <c r="C1418" s="50" t="s">
        <v>381</v>
      </c>
      <c r="D1418" s="51">
        <v>49</v>
      </c>
      <c r="E1418" s="51">
        <v>2</v>
      </c>
      <c r="F1418" s="36">
        <v>7.1529999999999996E-2</v>
      </c>
      <c r="G1418" s="36">
        <f>F1418*0.197</f>
        <v>1.409141E-2</v>
      </c>
      <c r="H1418" s="36">
        <v>4.6370000000000001E-2</v>
      </c>
      <c r="I1418" s="37">
        <f>H1418*0.15</f>
        <v>6.9554999999999999E-3</v>
      </c>
      <c r="J1418" s="32">
        <f t="shared" si="334"/>
        <v>0.10317325000000001</v>
      </c>
      <c r="K1418" s="33">
        <f t="shared" ref="K1418:K1481" si="337">J1418*0.15</f>
        <v>1.54759875E-2</v>
      </c>
      <c r="L1418" s="33"/>
      <c r="O1418" s="2">
        <f t="shared" si="328"/>
        <v>1.9320833333333336E-2</v>
      </c>
      <c r="P1418" s="2">
        <f t="shared" si="329"/>
        <v>13.911000000000001</v>
      </c>
      <c r="Q1418" s="7">
        <f t="shared" si="330"/>
        <v>63.002717391304358</v>
      </c>
      <c r="R1418" s="2">
        <v>1.2</v>
      </c>
      <c r="S1418" s="2">
        <f t="shared" si="335"/>
        <v>4.45</v>
      </c>
      <c r="T1418" s="2"/>
      <c r="U1418" s="2"/>
      <c r="Y1418" s="8">
        <f t="shared" si="336"/>
        <v>2.2428967391304351</v>
      </c>
    </row>
    <row r="1419" spans="1:25" x14ac:dyDescent="0.25">
      <c r="A1419" s="34">
        <f t="shared" ref="A1419:B1434" si="338">A1418+1</f>
        <v>1411</v>
      </c>
      <c r="B1419" s="35">
        <f t="shared" si="338"/>
        <v>7</v>
      </c>
      <c r="C1419" s="50" t="s">
        <v>381</v>
      </c>
      <c r="D1419" s="51">
        <v>52</v>
      </c>
      <c r="E1419" s="51"/>
      <c r="F1419" s="36">
        <v>0.14258999999999999</v>
      </c>
      <c r="G1419" s="36">
        <f>F1419*0.197</f>
        <v>2.8090230000000001E-2</v>
      </c>
      <c r="H1419" s="36">
        <v>7.5969999999999996E-2</v>
      </c>
      <c r="I1419" s="37">
        <f>H1419*0.15</f>
        <v>1.1395499999999999E-2</v>
      </c>
      <c r="J1419" s="32">
        <f t="shared" si="334"/>
        <v>0.16903325</v>
      </c>
      <c r="K1419" s="33">
        <f t="shared" si="337"/>
        <v>2.5354987499999999E-2</v>
      </c>
      <c r="L1419" s="33"/>
      <c r="O1419" s="2">
        <f t="shared" ref="O1419:O1482" si="339">H1419/2.4</f>
        <v>3.1654166666666664E-2</v>
      </c>
      <c r="P1419" s="2">
        <f t="shared" ref="P1419:P1482" si="340">O1419*24*30</f>
        <v>22.790999999999997</v>
      </c>
      <c r="Q1419" s="7">
        <f t="shared" ref="Q1419:Q1482" si="341">P1419/0.2208</f>
        <v>103.22010869565216</v>
      </c>
      <c r="R1419" s="2">
        <v>1.2</v>
      </c>
      <c r="S1419" s="2">
        <f t="shared" si="335"/>
        <v>4.45</v>
      </c>
      <c r="T1419" s="2"/>
      <c r="U1419" s="2"/>
      <c r="Y1419" s="8">
        <f t="shared" si="336"/>
        <v>3.6746358695652175</v>
      </c>
    </row>
    <row r="1420" spans="1:25" x14ac:dyDescent="0.25">
      <c r="A1420" s="34">
        <f t="shared" si="338"/>
        <v>1412</v>
      </c>
      <c r="B1420" s="35">
        <f t="shared" si="338"/>
        <v>8</v>
      </c>
      <c r="C1420" s="50" t="s">
        <v>381</v>
      </c>
      <c r="D1420" s="51">
        <v>53</v>
      </c>
      <c r="E1420" s="51"/>
      <c r="F1420" s="36">
        <v>0.163794</v>
      </c>
      <c r="G1420" s="36">
        <f>F1420*0.197</f>
        <v>3.2267417999999999E-2</v>
      </c>
      <c r="H1420" s="36">
        <v>6.8446000000000007E-2</v>
      </c>
      <c r="I1420" s="37">
        <f>H1420*0.15</f>
        <v>1.0266900000000001E-2</v>
      </c>
      <c r="J1420" s="32">
        <f t="shared" si="334"/>
        <v>0.15229235000000002</v>
      </c>
      <c r="K1420" s="33">
        <f t="shared" si="337"/>
        <v>2.2843852500000001E-2</v>
      </c>
      <c r="L1420" s="33"/>
      <c r="O1420" s="2">
        <f t="shared" si="339"/>
        <v>2.8519166666666672E-2</v>
      </c>
      <c r="P1420" s="2">
        <f t="shared" si="340"/>
        <v>20.533800000000003</v>
      </c>
      <c r="Q1420" s="7">
        <f t="shared" si="341"/>
        <v>92.99728260869567</v>
      </c>
      <c r="R1420" s="2">
        <v>1.2</v>
      </c>
      <c r="S1420" s="2">
        <f t="shared" si="335"/>
        <v>4.45</v>
      </c>
      <c r="T1420" s="2"/>
      <c r="U1420" s="2"/>
      <c r="Y1420" s="8">
        <f t="shared" si="336"/>
        <v>3.3107032608695657</v>
      </c>
    </row>
    <row r="1421" spans="1:25" x14ac:dyDescent="0.25">
      <c r="A1421" s="34">
        <f t="shared" si="338"/>
        <v>1413</v>
      </c>
      <c r="B1421" s="35">
        <f t="shared" si="338"/>
        <v>9</v>
      </c>
      <c r="C1421" s="50" t="s">
        <v>381</v>
      </c>
      <c r="D1421" s="51">
        <v>54</v>
      </c>
      <c r="E1421" s="51"/>
      <c r="F1421" s="36">
        <v>0.12656999999999999</v>
      </c>
      <c r="G1421" s="36">
        <f>F1421*0.197</f>
        <v>2.4934289999999998E-2</v>
      </c>
      <c r="H1421" s="36">
        <v>8.2750000000000004E-2</v>
      </c>
      <c r="I1421" s="37">
        <f>H1421*0.15</f>
        <v>1.24125E-2</v>
      </c>
      <c r="J1421" s="32">
        <f t="shared" si="334"/>
        <v>0.18411875000000003</v>
      </c>
      <c r="K1421" s="33">
        <f t="shared" si="337"/>
        <v>2.7617812500000002E-2</v>
      </c>
      <c r="L1421" s="33"/>
      <c r="O1421" s="2">
        <f t="shared" si="339"/>
        <v>3.4479166666666672E-2</v>
      </c>
      <c r="P1421" s="2">
        <f t="shared" si="340"/>
        <v>24.825000000000003</v>
      </c>
      <c r="Q1421" s="7">
        <f t="shared" si="341"/>
        <v>112.43206521739133</v>
      </c>
      <c r="R1421" s="2">
        <v>1.2</v>
      </c>
      <c r="S1421" s="2">
        <f t="shared" si="335"/>
        <v>4.45</v>
      </c>
      <c r="T1421" s="2"/>
      <c r="U1421" s="2"/>
      <c r="Y1421" s="8">
        <f t="shared" si="336"/>
        <v>4.0025815217391312</v>
      </c>
    </row>
    <row r="1422" spans="1:25" x14ac:dyDescent="0.25">
      <c r="A1422" s="34">
        <f t="shared" si="338"/>
        <v>1414</v>
      </c>
      <c r="B1422" s="35">
        <f t="shared" si="338"/>
        <v>10</v>
      </c>
      <c r="C1422" s="50" t="s">
        <v>381</v>
      </c>
      <c r="D1422" s="51">
        <v>57</v>
      </c>
      <c r="E1422" s="51"/>
      <c r="F1422" s="36">
        <f ca="1">SUM(F1422:F1422)</f>
        <v>0.35161000000000003</v>
      </c>
      <c r="G1422" s="36">
        <f ca="1">SUM(G1422:G1422)</f>
        <v>6.9267170000000003E-2</v>
      </c>
      <c r="H1422" s="36">
        <v>9.2780000000000001E-2</v>
      </c>
      <c r="I1422" s="37">
        <f ca="1">SUM(I1422:I1422)</f>
        <v>2.8916549999999999E-2</v>
      </c>
      <c r="J1422" s="32">
        <f t="shared" si="334"/>
        <v>0.20643550000000002</v>
      </c>
      <c r="K1422" s="33">
        <f t="shared" si="337"/>
        <v>3.0965325000000002E-2</v>
      </c>
      <c r="L1422" s="33"/>
      <c r="O1422" s="2">
        <f t="shared" si="339"/>
        <v>3.8658333333333336E-2</v>
      </c>
      <c r="P1422" s="2">
        <f t="shared" si="340"/>
        <v>27.834000000000003</v>
      </c>
      <c r="Q1422" s="7">
        <f t="shared" si="341"/>
        <v>126.05978260869567</v>
      </c>
      <c r="R1422" s="2">
        <v>1.2</v>
      </c>
      <c r="S1422" s="2">
        <f t="shared" si="335"/>
        <v>4.45</v>
      </c>
      <c r="T1422" s="2"/>
      <c r="U1422" s="2"/>
      <c r="Y1422" s="8">
        <f t="shared" si="336"/>
        <v>4.4877282608695657</v>
      </c>
    </row>
    <row r="1423" spans="1:25" x14ac:dyDescent="0.25">
      <c r="A1423" s="34">
        <f t="shared" si="338"/>
        <v>1415</v>
      </c>
      <c r="B1423" s="35">
        <f t="shared" si="338"/>
        <v>11</v>
      </c>
      <c r="C1423" s="50" t="s">
        <v>381</v>
      </c>
      <c r="D1423" s="51">
        <v>72</v>
      </c>
      <c r="E1423" s="51"/>
      <c r="F1423" s="36">
        <v>0.12182</v>
      </c>
      <c r="G1423" s="36">
        <f t="shared" ref="G1423:G1428" si="342">F1423*0.197</f>
        <v>2.3998540000000002E-2</v>
      </c>
      <c r="H1423" s="36">
        <v>5.3150000000000003E-2</v>
      </c>
      <c r="I1423" s="37">
        <f t="shared" ref="I1423:I1428" si="343">H1423*0.15</f>
        <v>7.9725000000000004E-3</v>
      </c>
      <c r="J1423" s="32">
        <f t="shared" si="334"/>
        <v>0.11825875000000002</v>
      </c>
      <c r="K1423" s="33">
        <f t="shared" si="337"/>
        <v>1.7738812500000003E-2</v>
      </c>
      <c r="L1423" s="33"/>
      <c r="O1423" s="2">
        <f t="shared" si="339"/>
        <v>2.2145833333333337E-2</v>
      </c>
      <c r="P1423" s="2">
        <f t="shared" si="340"/>
        <v>15.945000000000002</v>
      </c>
      <c r="Q1423" s="7">
        <f t="shared" si="341"/>
        <v>72.214673913043484</v>
      </c>
      <c r="R1423" s="2">
        <v>1.2</v>
      </c>
      <c r="S1423" s="2">
        <f t="shared" si="335"/>
        <v>4.45</v>
      </c>
      <c r="T1423" s="2"/>
      <c r="U1423" s="2"/>
      <c r="Y1423" s="8">
        <f t="shared" si="336"/>
        <v>2.5708423913043483</v>
      </c>
    </row>
    <row r="1424" spans="1:25" x14ac:dyDescent="0.25">
      <c r="A1424" s="34">
        <f t="shared" si="338"/>
        <v>1416</v>
      </c>
      <c r="B1424" s="35">
        <f t="shared" si="338"/>
        <v>12</v>
      </c>
      <c r="C1424" s="50" t="s">
        <v>381</v>
      </c>
      <c r="D1424" s="51">
        <v>100</v>
      </c>
      <c r="E1424" s="51"/>
      <c r="F1424" s="36">
        <v>0.14999000000000001</v>
      </c>
      <c r="G1424" s="36">
        <f t="shared" si="342"/>
        <v>2.9548030000000003E-2</v>
      </c>
      <c r="H1424" s="36">
        <v>8.7582999999999994E-2</v>
      </c>
      <c r="I1424" s="37">
        <f t="shared" si="343"/>
        <v>1.3137449999999998E-2</v>
      </c>
      <c r="J1424" s="32">
        <f t="shared" si="334"/>
        <v>0.19487217500000001</v>
      </c>
      <c r="K1424" s="33">
        <f t="shared" si="337"/>
        <v>2.9230826250000001E-2</v>
      </c>
      <c r="L1424" s="33"/>
      <c r="O1424" s="2">
        <f t="shared" si="339"/>
        <v>3.6492916666666667E-2</v>
      </c>
      <c r="P1424" s="2">
        <f t="shared" si="340"/>
        <v>26.274899999999999</v>
      </c>
      <c r="Q1424" s="7">
        <f t="shared" si="341"/>
        <v>118.99864130434783</v>
      </c>
      <c r="R1424" s="2">
        <v>1.2</v>
      </c>
      <c r="S1424" s="2">
        <f t="shared" si="335"/>
        <v>4.45</v>
      </c>
      <c r="T1424" s="2"/>
      <c r="U1424" s="2"/>
      <c r="Y1424" s="8">
        <f t="shared" si="336"/>
        <v>4.2363516304347826</v>
      </c>
    </row>
    <row r="1425" spans="1:25" x14ac:dyDescent="0.25">
      <c r="A1425" s="34">
        <f t="shared" si="338"/>
        <v>1417</v>
      </c>
      <c r="B1425" s="35">
        <f t="shared" si="338"/>
        <v>13</v>
      </c>
      <c r="C1425" s="50" t="s">
        <v>381</v>
      </c>
      <c r="D1425" s="51">
        <v>102</v>
      </c>
      <c r="E1425" s="51"/>
      <c r="F1425" s="36">
        <v>0.164795</v>
      </c>
      <c r="G1425" s="36">
        <f t="shared" si="342"/>
        <v>3.2464615000000002E-2</v>
      </c>
      <c r="H1425" s="36">
        <v>7.0655999999999997E-2</v>
      </c>
      <c r="I1425" s="37">
        <f t="shared" si="343"/>
        <v>1.0598399999999999E-2</v>
      </c>
      <c r="J1425" s="32">
        <f t="shared" si="334"/>
        <v>0.1572096</v>
      </c>
      <c r="K1425" s="33">
        <f t="shared" si="337"/>
        <v>2.3581439999999999E-2</v>
      </c>
      <c r="L1425" s="33"/>
      <c r="O1425" s="2">
        <f t="shared" si="339"/>
        <v>2.9440000000000001E-2</v>
      </c>
      <c r="P1425" s="2">
        <f t="shared" si="340"/>
        <v>21.196800000000003</v>
      </c>
      <c r="Q1425" s="7">
        <f t="shared" si="341"/>
        <v>96.000000000000014</v>
      </c>
      <c r="R1425" s="2">
        <v>1.2</v>
      </c>
      <c r="S1425" s="2">
        <f t="shared" si="335"/>
        <v>4.45</v>
      </c>
      <c r="T1425" s="2"/>
      <c r="U1425" s="2"/>
      <c r="Y1425" s="8">
        <f t="shared" si="336"/>
        <v>3.4176000000000002</v>
      </c>
    </row>
    <row r="1426" spans="1:25" x14ac:dyDescent="0.25">
      <c r="A1426" s="34">
        <f t="shared" si="338"/>
        <v>1418</v>
      </c>
      <c r="B1426" s="35">
        <f t="shared" si="338"/>
        <v>14</v>
      </c>
      <c r="C1426" s="50" t="s">
        <v>382</v>
      </c>
      <c r="D1426" s="51">
        <v>4</v>
      </c>
      <c r="E1426" s="51"/>
      <c r="F1426" s="36">
        <v>0.17960999999999999</v>
      </c>
      <c r="G1426" s="36">
        <f t="shared" si="342"/>
        <v>3.5383169999999999E-2</v>
      </c>
      <c r="H1426" s="36">
        <v>0.12806400000000001</v>
      </c>
      <c r="I1426" s="37">
        <f t="shared" si="343"/>
        <v>1.92096E-2</v>
      </c>
      <c r="J1426" s="32">
        <f t="shared" si="334"/>
        <v>0.23691840000000003</v>
      </c>
      <c r="K1426" s="33">
        <f t="shared" si="337"/>
        <v>3.5537760000000002E-2</v>
      </c>
      <c r="L1426" s="33"/>
      <c r="O1426" s="2">
        <f t="shared" si="339"/>
        <v>5.3360000000000005E-2</v>
      </c>
      <c r="P1426" s="2">
        <f t="shared" si="340"/>
        <v>38.419200000000004</v>
      </c>
      <c r="Q1426" s="7">
        <f t="shared" si="341"/>
        <v>174.00000000000003</v>
      </c>
      <c r="R1426" s="2">
        <v>1.2</v>
      </c>
      <c r="S1426" s="2">
        <f t="shared" si="335"/>
        <v>3.7</v>
      </c>
      <c r="T1426" s="2"/>
      <c r="U1426" s="2"/>
      <c r="Y1426" s="8">
        <f t="shared" si="336"/>
        <v>5.1504000000000003</v>
      </c>
    </row>
    <row r="1427" spans="1:25" x14ac:dyDescent="0.25">
      <c r="A1427" s="34">
        <f t="shared" si="338"/>
        <v>1419</v>
      </c>
      <c r="B1427" s="35">
        <f t="shared" si="338"/>
        <v>15</v>
      </c>
      <c r="C1427" s="50" t="s">
        <v>382</v>
      </c>
      <c r="D1427" s="51">
        <v>6</v>
      </c>
      <c r="E1427" s="51"/>
      <c r="F1427" s="36">
        <v>0.17960999999999999</v>
      </c>
      <c r="G1427" s="36">
        <f t="shared" si="342"/>
        <v>3.5383169999999999E-2</v>
      </c>
      <c r="H1427" s="36">
        <v>0.117439</v>
      </c>
      <c r="I1427" s="37">
        <f t="shared" si="343"/>
        <v>1.7615849999999999E-2</v>
      </c>
      <c r="J1427" s="32">
        <f t="shared" si="334"/>
        <v>0.21726214999999999</v>
      </c>
      <c r="K1427" s="33">
        <f t="shared" si="337"/>
        <v>3.2589322499999997E-2</v>
      </c>
      <c r="L1427" s="33"/>
      <c r="O1427" s="2">
        <f t="shared" si="339"/>
        <v>4.8932916666666666E-2</v>
      </c>
      <c r="P1427" s="2">
        <f t="shared" si="340"/>
        <v>35.231700000000004</v>
      </c>
      <c r="Q1427" s="7">
        <f t="shared" si="341"/>
        <v>159.56385869565219</v>
      </c>
      <c r="R1427" s="2">
        <v>1.2</v>
      </c>
      <c r="S1427" s="2">
        <f t="shared" si="335"/>
        <v>3.7</v>
      </c>
      <c r="T1427" s="2"/>
      <c r="U1427" s="2"/>
      <c r="Y1427" s="8">
        <f t="shared" si="336"/>
        <v>4.7230902173913041</v>
      </c>
    </row>
    <row r="1428" spans="1:25" x14ac:dyDescent="0.25">
      <c r="A1428" s="34">
        <f t="shared" si="338"/>
        <v>1420</v>
      </c>
      <c r="B1428" s="35">
        <f t="shared" si="338"/>
        <v>16</v>
      </c>
      <c r="C1428" s="50" t="s">
        <v>382</v>
      </c>
      <c r="D1428" s="51" t="s">
        <v>118</v>
      </c>
      <c r="E1428" s="51"/>
      <c r="F1428" s="36">
        <v>3.1016999999999999E-2</v>
      </c>
      <c r="G1428" s="36">
        <f t="shared" si="342"/>
        <v>6.1103490000000002E-3</v>
      </c>
      <c r="H1428" s="36">
        <v>7.3610000000000004E-3</v>
      </c>
      <c r="I1428" s="37">
        <f t="shared" si="343"/>
        <v>1.1041499999999999E-3</v>
      </c>
      <c r="J1428" s="32">
        <f t="shared" si="334"/>
        <v>1.6378225E-2</v>
      </c>
      <c r="K1428" s="33">
        <f t="shared" si="337"/>
        <v>2.45673375E-3</v>
      </c>
      <c r="L1428" s="33"/>
      <c r="O1428" s="2">
        <f t="shared" si="339"/>
        <v>3.0670833333333336E-3</v>
      </c>
      <c r="P1428" s="2">
        <f t="shared" si="340"/>
        <v>2.2083000000000004</v>
      </c>
      <c r="Q1428" s="7">
        <f t="shared" si="341"/>
        <v>10.001358695652176</v>
      </c>
      <c r="R1428" s="2">
        <v>1.2</v>
      </c>
      <c r="S1428" s="2">
        <f t="shared" si="335"/>
        <v>4.45</v>
      </c>
      <c r="T1428" s="2"/>
      <c r="U1428" s="2"/>
      <c r="Y1428" s="8">
        <f t="shared" si="336"/>
        <v>0.3560483695652174</v>
      </c>
    </row>
    <row r="1429" spans="1:25" x14ac:dyDescent="0.25">
      <c r="A1429" s="34">
        <f t="shared" si="338"/>
        <v>1421</v>
      </c>
      <c r="B1429" s="35">
        <f t="shared" si="338"/>
        <v>17</v>
      </c>
      <c r="C1429" s="50" t="s">
        <v>382</v>
      </c>
      <c r="D1429" s="51">
        <v>19</v>
      </c>
      <c r="E1429" s="51"/>
      <c r="F1429" s="36">
        <f ca="1">SUM(F1429:F1429)</f>
        <v>7.6560000000000003E-2</v>
      </c>
      <c r="G1429" s="36">
        <f ca="1">SUM(G1429:G1429)</f>
        <v>1.5082320000000001E-2</v>
      </c>
      <c r="H1429" s="36">
        <v>3.0360000000000002E-2</v>
      </c>
      <c r="I1429" s="37">
        <f ca="1">SUM(I1429:I1429)</f>
        <v>4.5542999999999998E-3</v>
      </c>
      <c r="J1429" s="32">
        <f t="shared" si="334"/>
        <v>6.7551E-2</v>
      </c>
      <c r="K1429" s="33">
        <f t="shared" si="337"/>
        <v>1.013265E-2</v>
      </c>
      <c r="L1429" s="24" t="s">
        <v>16</v>
      </c>
      <c r="O1429" s="2">
        <f t="shared" si="339"/>
        <v>1.2650000000000002E-2</v>
      </c>
      <c r="P1429" s="2">
        <f t="shared" si="340"/>
        <v>9.1080000000000005</v>
      </c>
      <c r="Q1429" s="7">
        <f t="shared" si="341"/>
        <v>41.25</v>
      </c>
      <c r="R1429" s="2">
        <v>1.2</v>
      </c>
      <c r="S1429" s="2">
        <f t="shared" si="335"/>
        <v>4.45</v>
      </c>
      <c r="T1429" s="2"/>
      <c r="U1429" s="2"/>
      <c r="Y1429" s="8">
        <f t="shared" si="336"/>
        <v>1.4684999999999999</v>
      </c>
    </row>
    <row r="1430" spans="1:25" x14ac:dyDescent="0.25">
      <c r="A1430" s="34">
        <f t="shared" si="338"/>
        <v>1422</v>
      </c>
      <c r="B1430" s="35">
        <f t="shared" si="338"/>
        <v>18</v>
      </c>
      <c r="C1430" s="50" t="s">
        <v>382</v>
      </c>
      <c r="D1430" s="51">
        <v>23</v>
      </c>
      <c r="E1430" s="51"/>
      <c r="F1430" s="36">
        <v>0.14885000000000001</v>
      </c>
      <c r="G1430" s="36">
        <f>F1430*0.197</f>
        <v>2.9323450000000004E-2</v>
      </c>
      <c r="H1430" s="36">
        <v>9.4210000000000002E-2</v>
      </c>
      <c r="I1430" s="37">
        <f>H1430*0.15</f>
        <v>1.41315E-2</v>
      </c>
      <c r="J1430" s="32">
        <f t="shared" si="334"/>
        <v>0.20961725</v>
      </c>
      <c r="K1430" s="33">
        <f t="shared" si="337"/>
        <v>3.1442587500000001E-2</v>
      </c>
      <c r="L1430" s="24" t="s">
        <v>16</v>
      </c>
      <c r="O1430" s="2">
        <f t="shared" si="339"/>
        <v>3.9254166666666666E-2</v>
      </c>
      <c r="P1430" s="2">
        <f t="shared" si="340"/>
        <v>28.262999999999998</v>
      </c>
      <c r="Q1430" s="7">
        <f t="shared" si="341"/>
        <v>128.00271739130434</v>
      </c>
      <c r="R1430" s="2">
        <v>1.2</v>
      </c>
      <c r="S1430" s="2">
        <f t="shared" si="335"/>
        <v>4.45</v>
      </c>
      <c r="T1430" s="2"/>
      <c r="U1430" s="2"/>
      <c r="Y1430" s="8">
        <f t="shared" si="336"/>
        <v>4.5568967391304351</v>
      </c>
    </row>
    <row r="1431" spans="1:25" x14ac:dyDescent="0.25">
      <c r="A1431" s="34">
        <f t="shared" si="338"/>
        <v>1423</v>
      </c>
      <c r="B1431" s="35">
        <f t="shared" si="338"/>
        <v>19</v>
      </c>
      <c r="C1431" s="50" t="s">
        <v>383</v>
      </c>
      <c r="D1431" s="51">
        <v>175</v>
      </c>
      <c r="E1431" s="51"/>
      <c r="F1431" s="36">
        <f t="shared" ref="F1431:I1433" ca="1" si="344">SUM(F1431:F1431)</f>
        <v>3.3259999999999998E-2</v>
      </c>
      <c r="G1431" s="36">
        <f t="shared" ca="1" si="344"/>
        <v>6.552220000000001E-3</v>
      </c>
      <c r="H1431" s="36">
        <v>7.3600000000000002E-3</v>
      </c>
      <c r="I1431" s="37">
        <f t="shared" ca="1" si="344"/>
        <v>1.1039999999999999E-3</v>
      </c>
      <c r="J1431" s="32">
        <f t="shared" si="334"/>
        <v>1.6376000000000002E-2</v>
      </c>
      <c r="K1431" s="33">
        <f t="shared" si="337"/>
        <v>2.4564000000000001E-3</v>
      </c>
      <c r="L1431" s="52"/>
      <c r="O1431" s="2">
        <f t="shared" si="339"/>
        <v>3.0666666666666668E-3</v>
      </c>
      <c r="P1431" s="2">
        <f t="shared" si="340"/>
        <v>2.2080000000000002</v>
      </c>
      <c r="Q1431" s="7">
        <f t="shared" si="341"/>
        <v>10.000000000000002</v>
      </c>
      <c r="R1431" s="2">
        <v>1.2</v>
      </c>
      <c r="S1431" s="2">
        <f t="shared" si="335"/>
        <v>4.45</v>
      </c>
      <c r="T1431" s="2"/>
      <c r="U1431" s="2"/>
      <c r="Y1431" s="8">
        <f t="shared" si="336"/>
        <v>0.35600000000000004</v>
      </c>
    </row>
    <row r="1432" spans="1:25" x14ac:dyDescent="0.25">
      <c r="A1432" s="34">
        <f t="shared" si="338"/>
        <v>1424</v>
      </c>
      <c r="B1432" s="35">
        <f t="shared" si="338"/>
        <v>20</v>
      </c>
      <c r="C1432" s="50" t="s">
        <v>383</v>
      </c>
      <c r="D1432" s="51">
        <v>180</v>
      </c>
      <c r="E1432" s="51"/>
      <c r="F1432" s="36">
        <f t="shared" ca="1" si="344"/>
        <v>5.101E-2</v>
      </c>
      <c r="G1432" s="36">
        <f t="shared" ca="1" si="344"/>
        <v>1.0048970000000001E-2</v>
      </c>
      <c r="H1432" s="36">
        <v>1.056E-2</v>
      </c>
      <c r="I1432" s="37">
        <f t="shared" ca="1" si="344"/>
        <v>1.5841499999999999E-3</v>
      </c>
      <c r="J1432" s="32">
        <f t="shared" si="334"/>
        <v>2.3496E-2</v>
      </c>
      <c r="K1432" s="33">
        <f t="shared" si="337"/>
        <v>3.5243999999999996E-3</v>
      </c>
      <c r="L1432" s="52"/>
      <c r="O1432" s="2">
        <f t="shared" si="339"/>
        <v>4.4000000000000003E-3</v>
      </c>
      <c r="P1432" s="2">
        <f t="shared" si="340"/>
        <v>3.1680000000000001</v>
      </c>
      <c r="Q1432" s="7">
        <f t="shared" si="341"/>
        <v>14.347826086956523</v>
      </c>
      <c r="R1432" s="2">
        <v>1.2</v>
      </c>
      <c r="S1432" s="2">
        <f t="shared" si="335"/>
        <v>4.45</v>
      </c>
      <c r="T1432" s="2"/>
      <c r="U1432" s="2"/>
      <c r="Y1432" s="8">
        <f t="shared" si="336"/>
        <v>0.51078260869565217</v>
      </c>
    </row>
    <row r="1433" spans="1:25" x14ac:dyDescent="0.25">
      <c r="A1433" s="34">
        <f t="shared" si="338"/>
        <v>1425</v>
      </c>
      <c r="B1433" s="35">
        <f t="shared" si="338"/>
        <v>21</v>
      </c>
      <c r="C1433" s="50" t="s">
        <v>383</v>
      </c>
      <c r="D1433" s="51">
        <v>191</v>
      </c>
      <c r="E1433" s="51"/>
      <c r="F1433" s="36">
        <f t="shared" ca="1" si="344"/>
        <v>0.16644</v>
      </c>
      <c r="G1433" s="36">
        <f t="shared" ca="1" si="344"/>
        <v>3.2788680000000001E-2</v>
      </c>
      <c r="H1433" s="36">
        <v>6.4430000000000001E-2</v>
      </c>
      <c r="I1433" s="37">
        <f t="shared" ca="1" si="344"/>
        <v>9.6640500000000004E-3</v>
      </c>
      <c r="J1433" s="32">
        <f t="shared" si="334"/>
        <v>0.14335675000000001</v>
      </c>
      <c r="K1433" s="33">
        <f t="shared" si="337"/>
        <v>2.1503512499999999E-2</v>
      </c>
      <c r="L1433" s="52"/>
      <c r="O1433" s="2">
        <f t="shared" si="339"/>
        <v>2.6845833333333336E-2</v>
      </c>
      <c r="P1433" s="2">
        <f t="shared" si="340"/>
        <v>19.329000000000004</v>
      </c>
      <c r="Q1433" s="7">
        <f t="shared" si="341"/>
        <v>87.540760869565233</v>
      </c>
      <c r="R1433" s="2">
        <v>1.2</v>
      </c>
      <c r="S1433" s="2">
        <f t="shared" si="335"/>
        <v>4.45</v>
      </c>
      <c r="T1433" s="2"/>
      <c r="U1433" s="2"/>
      <c r="Y1433" s="8">
        <f t="shared" si="336"/>
        <v>3.1164510869565221</v>
      </c>
    </row>
    <row r="1434" spans="1:25" x14ac:dyDescent="0.25">
      <c r="A1434" s="34">
        <f t="shared" si="338"/>
        <v>1426</v>
      </c>
      <c r="B1434" s="35">
        <f t="shared" si="338"/>
        <v>22</v>
      </c>
      <c r="C1434" s="50" t="s">
        <v>383</v>
      </c>
      <c r="D1434" s="51">
        <v>195</v>
      </c>
      <c r="E1434" s="51"/>
      <c r="F1434" s="36">
        <v>0.14463000000000001</v>
      </c>
      <c r="G1434" s="36">
        <f t="shared" ref="G1434:G1442" si="345">F1434*0.197</f>
        <v>2.8492110000000005E-2</v>
      </c>
      <c r="H1434" s="36">
        <v>9.1600000000000001E-2</v>
      </c>
      <c r="I1434" s="37">
        <f t="shared" ref="I1434:I1442" si="346">H1434*0.15</f>
        <v>1.374E-2</v>
      </c>
      <c r="J1434" s="32">
        <f t="shared" si="334"/>
        <v>0.20381000000000002</v>
      </c>
      <c r="K1434" s="33">
        <f t="shared" si="337"/>
        <v>3.0571500000000001E-2</v>
      </c>
      <c r="L1434" s="52"/>
      <c r="O1434" s="2">
        <f t="shared" si="339"/>
        <v>3.8166666666666668E-2</v>
      </c>
      <c r="P1434" s="2">
        <f t="shared" si="340"/>
        <v>27.48</v>
      </c>
      <c r="Q1434" s="7">
        <f t="shared" si="341"/>
        <v>124.45652173913044</v>
      </c>
      <c r="R1434" s="2">
        <v>1.2</v>
      </c>
      <c r="S1434" s="2">
        <f t="shared" si="335"/>
        <v>4.45</v>
      </c>
      <c r="T1434" s="2"/>
      <c r="U1434" s="2"/>
      <c r="Y1434" s="8">
        <f t="shared" si="336"/>
        <v>4.4306521739130442</v>
      </c>
    </row>
    <row r="1435" spans="1:25" x14ac:dyDescent="0.25">
      <c r="A1435" s="34">
        <f t="shared" ref="A1435:B1450" si="347">A1434+1</f>
        <v>1427</v>
      </c>
      <c r="B1435" s="35">
        <f t="shared" si="347"/>
        <v>23</v>
      </c>
      <c r="C1435" s="50" t="s">
        <v>383</v>
      </c>
      <c r="D1435" s="51">
        <v>197</v>
      </c>
      <c r="E1435" s="51"/>
      <c r="F1435" s="36">
        <v>0.17139182366994901</v>
      </c>
      <c r="G1435" s="36">
        <f t="shared" si="345"/>
        <v>3.3764189262979957E-2</v>
      </c>
      <c r="H1435" s="36">
        <v>6.8683682652526098E-2</v>
      </c>
      <c r="I1435" s="37">
        <f t="shared" si="346"/>
        <v>1.0302552397878915E-2</v>
      </c>
      <c r="J1435" s="32">
        <f t="shared" si="334"/>
        <v>0.15282119390187057</v>
      </c>
      <c r="K1435" s="33">
        <f t="shared" si="337"/>
        <v>2.2923179085280587E-2</v>
      </c>
      <c r="L1435" s="52"/>
      <c r="O1435" s="2">
        <f t="shared" si="339"/>
        <v>2.8618201105219208E-2</v>
      </c>
      <c r="P1435" s="2">
        <f t="shared" si="340"/>
        <v>20.605104795757832</v>
      </c>
      <c r="Q1435" s="7">
        <f t="shared" si="341"/>
        <v>93.320220995280039</v>
      </c>
      <c r="R1435" s="2">
        <v>1.2</v>
      </c>
      <c r="S1435" s="2">
        <f t="shared" si="335"/>
        <v>4.45</v>
      </c>
      <c r="T1435" s="2"/>
      <c r="U1435" s="2"/>
      <c r="Y1435" s="8">
        <f t="shared" si="336"/>
        <v>3.3221998674319688</v>
      </c>
    </row>
    <row r="1436" spans="1:25" x14ac:dyDescent="0.25">
      <c r="A1436" s="34">
        <f t="shared" si="347"/>
        <v>1428</v>
      </c>
      <c r="B1436" s="35">
        <f t="shared" si="347"/>
        <v>24</v>
      </c>
      <c r="C1436" s="50" t="s">
        <v>383</v>
      </c>
      <c r="D1436" s="51">
        <v>199</v>
      </c>
      <c r="E1436" s="51"/>
      <c r="F1436" s="36">
        <v>0.23397748378581301</v>
      </c>
      <c r="G1436" s="36">
        <f t="shared" si="345"/>
        <v>4.6093564305805163E-2</v>
      </c>
      <c r="H1436" s="36">
        <v>9.3653744259608998E-2</v>
      </c>
      <c r="I1436" s="37">
        <f t="shared" si="346"/>
        <v>1.404806163894135E-2</v>
      </c>
      <c r="J1436" s="32">
        <f t="shared" si="334"/>
        <v>0.20837958097763004</v>
      </c>
      <c r="K1436" s="33">
        <f t="shared" si="337"/>
        <v>3.1256937146644508E-2</v>
      </c>
      <c r="L1436" s="52"/>
      <c r="O1436" s="2">
        <f t="shared" si="339"/>
        <v>3.9022393441503753E-2</v>
      </c>
      <c r="P1436" s="2">
        <f t="shared" si="340"/>
        <v>28.0961232778827</v>
      </c>
      <c r="Q1436" s="7">
        <f t="shared" si="341"/>
        <v>127.24693513533832</v>
      </c>
      <c r="R1436" s="2">
        <v>1.2</v>
      </c>
      <c r="S1436" s="2">
        <f t="shared" si="335"/>
        <v>4.45</v>
      </c>
      <c r="T1436" s="2"/>
      <c r="U1436" s="2"/>
      <c r="Y1436" s="8">
        <f t="shared" si="336"/>
        <v>4.5299908908180448</v>
      </c>
    </row>
    <row r="1437" spans="1:25" x14ac:dyDescent="0.25">
      <c r="A1437" s="34">
        <f t="shared" si="347"/>
        <v>1429</v>
      </c>
      <c r="B1437" s="35">
        <f t="shared" si="347"/>
        <v>25</v>
      </c>
      <c r="C1437" s="50" t="s">
        <v>383</v>
      </c>
      <c r="D1437" s="51">
        <v>245</v>
      </c>
      <c r="E1437" s="51">
        <v>1</v>
      </c>
      <c r="F1437" s="36">
        <v>0.15482000000000001</v>
      </c>
      <c r="G1437" s="36">
        <f t="shared" si="345"/>
        <v>3.0499540000000006E-2</v>
      </c>
      <c r="H1437" s="36">
        <v>0.10047</v>
      </c>
      <c r="I1437" s="37">
        <f t="shared" si="346"/>
        <v>1.5070500000000001E-2</v>
      </c>
      <c r="J1437" s="32">
        <f t="shared" si="334"/>
        <v>0.22354575000000002</v>
      </c>
      <c r="K1437" s="33">
        <f t="shared" si="337"/>
        <v>3.3531862500000002E-2</v>
      </c>
      <c r="L1437" s="52"/>
      <c r="O1437" s="2">
        <f t="shared" si="339"/>
        <v>4.1862500000000004E-2</v>
      </c>
      <c r="P1437" s="2">
        <f t="shared" si="340"/>
        <v>30.141000000000005</v>
      </c>
      <c r="Q1437" s="7">
        <f t="shared" si="341"/>
        <v>136.50815217391306</v>
      </c>
      <c r="R1437" s="2">
        <v>1.2</v>
      </c>
      <c r="S1437" s="2">
        <f t="shared" si="335"/>
        <v>4.45</v>
      </c>
      <c r="T1437" s="2"/>
      <c r="U1437" s="2"/>
      <c r="Y1437" s="8">
        <f t="shared" si="336"/>
        <v>4.8596902173913046</v>
      </c>
    </row>
    <row r="1438" spans="1:25" x14ac:dyDescent="0.25">
      <c r="A1438" s="34">
        <f t="shared" si="347"/>
        <v>1430</v>
      </c>
      <c r="B1438" s="35">
        <f t="shared" si="347"/>
        <v>26</v>
      </c>
      <c r="C1438" s="50" t="s">
        <v>383</v>
      </c>
      <c r="D1438" s="51">
        <v>245</v>
      </c>
      <c r="E1438" s="51">
        <v>2</v>
      </c>
      <c r="F1438" s="36">
        <v>0.15482000000000001</v>
      </c>
      <c r="G1438" s="36">
        <f t="shared" si="345"/>
        <v>3.0499540000000006E-2</v>
      </c>
      <c r="H1438" s="36">
        <v>0.10047</v>
      </c>
      <c r="I1438" s="37">
        <f t="shared" si="346"/>
        <v>1.5070500000000001E-2</v>
      </c>
      <c r="J1438" s="32">
        <f t="shared" si="334"/>
        <v>0.22354575000000002</v>
      </c>
      <c r="K1438" s="33">
        <f t="shared" si="337"/>
        <v>3.3531862500000002E-2</v>
      </c>
      <c r="L1438" s="52"/>
      <c r="O1438" s="2">
        <f t="shared" si="339"/>
        <v>4.1862500000000004E-2</v>
      </c>
      <c r="P1438" s="2">
        <f t="shared" si="340"/>
        <v>30.141000000000005</v>
      </c>
      <c r="Q1438" s="7">
        <f t="shared" si="341"/>
        <v>136.50815217391306</v>
      </c>
      <c r="R1438" s="2">
        <v>1.2</v>
      </c>
      <c r="S1438" s="2">
        <f t="shared" si="335"/>
        <v>4.45</v>
      </c>
      <c r="T1438" s="2"/>
      <c r="U1438" s="2"/>
      <c r="Y1438" s="8">
        <f t="shared" si="336"/>
        <v>4.8596902173913046</v>
      </c>
    </row>
    <row r="1439" spans="1:25" x14ac:dyDescent="0.25">
      <c r="A1439" s="34">
        <f t="shared" si="347"/>
        <v>1431</v>
      </c>
      <c r="B1439" s="35">
        <f t="shared" si="347"/>
        <v>27</v>
      </c>
      <c r="C1439" s="50" t="s">
        <v>383</v>
      </c>
      <c r="D1439" s="51">
        <v>247</v>
      </c>
      <c r="E1439" s="51"/>
      <c r="F1439" s="36">
        <v>0.15481500000000001</v>
      </c>
      <c r="G1439" s="36">
        <f t="shared" si="345"/>
        <v>3.0498555000000004E-2</v>
      </c>
      <c r="H1439" s="36">
        <v>0.10524699999999999</v>
      </c>
      <c r="I1439" s="37">
        <f t="shared" si="346"/>
        <v>1.5787049999999997E-2</v>
      </c>
      <c r="J1439" s="32">
        <f t="shared" si="334"/>
        <v>0.234174575</v>
      </c>
      <c r="K1439" s="33">
        <f t="shared" si="337"/>
        <v>3.5126186249999997E-2</v>
      </c>
      <c r="L1439" s="52"/>
      <c r="O1439" s="2">
        <f t="shared" si="339"/>
        <v>4.3852916666666665E-2</v>
      </c>
      <c r="P1439" s="2">
        <f t="shared" si="340"/>
        <v>31.574100000000001</v>
      </c>
      <c r="Q1439" s="7">
        <f t="shared" si="341"/>
        <v>142.99864130434784</v>
      </c>
      <c r="R1439" s="2">
        <v>1.2</v>
      </c>
      <c r="S1439" s="2">
        <f t="shared" si="335"/>
        <v>4.45</v>
      </c>
      <c r="T1439" s="2"/>
      <c r="U1439" s="2"/>
      <c r="Y1439" s="8">
        <f t="shared" si="336"/>
        <v>5.0907516304347826</v>
      </c>
    </row>
    <row r="1440" spans="1:25" x14ac:dyDescent="0.25">
      <c r="A1440" s="34">
        <f t="shared" si="347"/>
        <v>1432</v>
      </c>
      <c r="B1440" s="35">
        <f t="shared" si="347"/>
        <v>28</v>
      </c>
      <c r="C1440" s="50" t="s">
        <v>383</v>
      </c>
      <c r="D1440" s="51">
        <v>249</v>
      </c>
      <c r="E1440" s="51"/>
      <c r="F1440" s="36">
        <v>0.15481500000000001</v>
      </c>
      <c r="G1440" s="36">
        <f t="shared" si="345"/>
        <v>3.0498555000000004E-2</v>
      </c>
      <c r="H1440" s="36">
        <v>9.4206999999999999E-2</v>
      </c>
      <c r="I1440" s="37">
        <f t="shared" si="346"/>
        <v>1.4131049999999999E-2</v>
      </c>
      <c r="J1440" s="32">
        <f t="shared" si="334"/>
        <v>0.20961057499999999</v>
      </c>
      <c r="K1440" s="33">
        <f t="shared" si="337"/>
        <v>3.144158625E-2</v>
      </c>
      <c r="L1440" s="52"/>
      <c r="O1440" s="2">
        <f t="shared" si="339"/>
        <v>3.9252916666666665E-2</v>
      </c>
      <c r="P1440" s="2">
        <f t="shared" si="340"/>
        <v>28.2621</v>
      </c>
      <c r="Q1440" s="7">
        <f t="shared" si="341"/>
        <v>127.99864130434783</v>
      </c>
      <c r="R1440" s="2">
        <v>1.2</v>
      </c>
      <c r="S1440" s="2">
        <f t="shared" si="335"/>
        <v>4.45</v>
      </c>
      <c r="T1440" s="2"/>
      <c r="U1440" s="2"/>
      <c r="Y1440" s="8">
        <f t="shared" si="336"/>
        <v>4.5567516304347828</v>
      </c>
    </row>
    <row r="1441" spans="1:25" x14ac:dyDescent="0.25">
      <c r="A1441" s="34">
        <f t="shared" si="347"/>
        <v>1433</v>
      </c>
      <c r="B1441" s="35">
        <f t="shared" si="347"/>
        <v>29</v>
      </c>
      <c r="C1441" s="50" t="s">
        <v>383</v>
      </c>
      <c r="D1441" s="51">
        <v>251</v>
      </c>
      <c r="E1441" s="51">
        <v>1</v>
      </c>
      <c r="F1441" s="36">
        <v>0.15479999999999999</v>
      </c>
      <c r="G1441" s="36">
        <f t="shared" si="345"/>
        <v>3.0495600000000001E-2</v>
      </c>
      <c r="H1441" s="36">
        <v>0.1135</v>
      </c>
      <c r="I1441" s="37">
        <f t="shared" si="346"/>
        <v>1.7024999999999998E-2</v>
      </c>
      <c r="J1441" s="32">
        <f t="shared" si="334"/>
        <v>0.20997500000000002</v>
      </c>
      <c r="K1441" s="33">
        <f t="shared" si="337"/>
        <v>3.1496250000000003E-2</v>
      </c>
      <c r="L1441" s="52"/>
      <c r="O1441" s="2">
        <f t="shared" si="339"/>
        <v>4.7291666666666669E-2</v>
      </c>
      <c r="P1441" s="2">
        <f t="shared" si="340"/>
        <v>34.049999999999997</v>
      </c>
      <c r="Q1441" s="7">
        <f t="shared" si="341"/>
        <v>154.21195652173913</v>
      </c>
      <c r="R1441" s="2">
        <v>1.2</v>
      </c>
      <c r="S1441" s="2">
        <f t="shared" si="335"/>
        <v>3.7</v>
      </c>
      <c r="T1441" s="2"/>
      <c r="U1441" s="2"/>
      <c r="Y1441" s="8">
        <f t="shared" si="336"/>
        <v>4.5646739130434781</v>
      </c>
    </row>
    <row r="1442" spans="1:25" x14ac:dyDescent="0.25">
      <c r="A1442" s="34">
        <f t="shared" si="347"/>
        <v>1434</v>
      </c>
      <c r="B1442" s="35">
        <f t="shared" si="347"/>
        <v>30</v>
      </c>
      <c r="C1442" s="50" t="s">
        <v>383</v>
      </c>
      <c r="D1442" s="51">
        <v>251</v>
      </c>
      <c r="E1442" s="51">
        <v>2</v>
      </c>
      <c r="F1442" s="36">
        <v>0.15479999999999999</v>
      </c>
      <c r="G1442" s="36">
        <f t="shared" si="345"/>
        <v>3.0495600000000001E-2</v>
      </c>
      <c r="H1442" s="36">
        <v>0.1135</v>
      </c>
      <c r="I1442" s="37">
        <f t="shared" si="346"/>
        <v>1.7024999999999998E-2</v>
      </c>
      <c r="J1442" s="32">
        <f t="shared" si="334"/>
        <v>0.20997500000000002</v>
      </c>
      <c r="K1442" s="33">
        <f t="shared" si="337"/>
        <v>3.1496250000000003E-2</v>
      </c>
      <c r="L1442" s="52"/>
      <c r="O1442" s="2">
        <f t="shared" si="339"/>
        <v>4.7291666666666669E-2</v>
      </c>
      <c r="P1442" s="2">
        <f t="shared" si="340"/>
        <v>34.049999999999997</v>
      </c>
      <c r="Q1442" s="7">
        <f t="shared" si="341"/>
        <v>154.21195652173913</v>
      </c>
      <c r="R1442" s="2">
        <v>1.2</v>
      </c>
      <c r="S1442" s="2">
        <f t="shared" si="335"/>
        <v>3.7</v>
      </c>
      <c r="T1442" s="2"/>
      <c r="U1442" s="2"/>
      <c r="Y1442" s="8">
        <f t="shared" si="336"/>
        <v>4.5646739130434781</v>
      </c>
    </row>
    <row r="1443" spans="1:25" x14ac:dyDescent="0.25">
      <c r="A1443" s="34">
        <f t="shared" si="347"/>
        <v>1435</v>
      </c>
      <c r="B1443" s="35">
        <f t="shared" si="347"/>
        <v>31</v>
      </c>
      <c r="C1443" s="50" t="s">
        <v>384</v>
      </c>
      <c r="D1443" s="51">
        <v>155</v>
      </c>
      <c r="E1443" s="51"/>
      <c r="F1443" s="36">
        <f t="shared" ref="F1443:I1447" ca="1" si="348">SUM(F1443:F1443)</f>
        <v>7.2849999999999998E-2</v>
      </c>
      <c r="G1443" s="36">
        <f t="shared" ca="1" si="348"/>
        <v>1.435145E-2</v>
      </c>
      <c r="H1443" s="36">
        <v>3.5639999999999998E-2</v>
      </c>
      <c r="I1443" s="37">
        <f t="shared" ca="1" si="348"/>
        <v>5.3458500000000001E-3</v>
      </c>
      <c r="J1443" s="32">
        <f t="shared" si="334"/>
        <v>7.9298999999999994E-2</v>
      </c>
      <c r="K1443" s="33">
        <f t="shared" si="337"/>
        <v>1.1894849999999998E-2</v>
      </c>
      <c r="L1443" s="24" t="s">
        <v>16</v>
      </c>
      <c r="O1443" s="2">
        <f t="shared" si="339"/>
        <v>1.485E-2</v>
      </c>
      <c r="P1443" s="2">
        <f t="shared" si="340"/>
        <v>10.692</v>
      </c>
      <c r="Q1443" s="7">
        <f t="shared" si="341"/>
        <v>48.423913043478265</v>
      </c>
      <c r="R1443" s="2">
        <v>1.2</v>
      </c>
      <c r="S1443" s="2">
        <f t="shared" si="335"/>
        <v>4.45</v>
      </c>
      <c r="T1443" s="2"/>
      <c r="U1443" s="2"/>
      <c r="Y1443" s="8">
        <f t="shared" si="336"/>
        <v>1.7238913043478259</v>
      </c>
    </row>
    <row r="1444" spans="1:25" x14ac:dyDescent="0.25">
      <c r="A1444" s="34">
        <f t="shared" si="347"/>
        <v>1436</v>
      </c>
      <c r="B1444" s="35">
        <f t="shared" si="347"/>
        <v>32</v>
      </c>
      <c r="C1444" s="50" t="s">
        <v>384</v>
      </c>
      <c r="D1444" s="51">
        <v>157</v>
      </c>
      <c r="E1444" s="51"/>
      <c r="F1444" s="36">
        <f t="shared" ca="1" si="348"/>
        <v>7.7329999999999996E-2</v>
      </c>
      <c r="G1444" s="36">
        <f t="shared" ca="1" si="348"/>
        <v>1.5234010000000001E-2</v>
      </c>
      <c r="H1444" s="36">
        <v>3.882E-2</v>
      </c>
      <c r="I1444" s="37">
        <f t="shared" ca="1" si="348"/>
        <v>5.8700999999999996E-3</v>
      </c>
      <c r="J1444" s="32">
        <f t="shared" si="334"/>
        <v>8.6374500000000007E-2</v>
      </c>
      <c r="K1444" s="33">
        <f t="shared" si="337"/>
        <v>1.2956175E-2</v>
      </c>
      <c r="L1444" s="24" t="s">
        <v>16</v>
      </c>
      <c r="O1444" s="2">
        <f t="shared" si="339"/>
        <v>1.6175000000000002E-2</v>
      </c>
      <c r="P1444" s="2">
        <f t="shared" si="340"/>
        <v>11.646000000000001</v>
      </c>
      <c r="Q1444" s="7">
        <f t="shared" si="341"/>
        <v>52.744565217391312</v>
      </c>
      <c r="R1444" s="2">
        <v>1.2</v>
      </c>
      <c r="S1444" s="2">
        <f t="shared" si="335"/>
        <v>4.45</v>
      </c>
      <c r="T1444" s="2"/>
      <c r="U1444" s="2"/>
      <c r="Y1444" s="8">
        <f t="shared" si="336"/>
        <v>1.8777065217391307</v>
      </c>
    </row>
    <row r="1445" spans="1:25" x14ac:dyDescent="0.25">
      <c r="A1445" s="34">
        <f t="shared" si="347"/>
        <v>1437</v>
      </c>
      <c r="B1445" s="35">
        <f t="shared" si="347"/>
        <v>33</v>
      </c>
      <c r="C1445" s="50" t="s">
        <v>384</v>
      </c>
      <c r="D1445" s="51">
        <v>159</v>
      </c>
      <c r="E1445" s="51"/>
      <c r="F1445" s="36">
        <f t="shared" ca="1" si="348"/>
        <v>0.17176999999999998</v>
      </c>
      <c r="G1445" s="36">
        <f t="shared" ca="1" si="348"/>
        <v>3.3838689999999998E-2</v>
      </c>
      <c r="H1445" s="36">
        <v>9.8640000000000005E-2</v>
      </c>
      <c r="I1445" s="37">
        <f t="shared" ca="1" si="348"/>
        <v>1.4795250000000001E-2</v>
      </c>
      <c r="J1445" s="32">
        <f t="shared" si="334"/>
        <v>0.21947400000000003</v>
      </c>
      <c r="K1445" s="33">
        <f t="shared" si="337"/>
        <v>3.2921100000000002E-2</v>
      </c>
      <c r="L1445" s="52"/>
      <c r="O1445" s="2">
        <f t="shared" si="339"/>
        <v>4.1100000000000005E-2</v>
      </c>
      <c r="P1445" s="2">
        <f t="shared" si="340"/>
        <v>29.592000000000006</v>
      </c>
      <c r="Q1445" s="7">
        <f t="shared" si="341"/>
        <v>134.02173913043481</v>
      </c>
      <c r="R1445" s="2">
        <v>1.2</v>
      </c>
      <c r="S1445" s="2">
        <f t="shared" si="335"/>
        <v>4.45</v>
      </c>
      <c r="T1445" s="2"/>
      <c r="U1445" s="2"/>
      <c r="Y1445" s="8">
        <f t="shared" si="336"/>
        <v>4.7711739130434783</v>
      </c>
    </row>
    <row r="1446" spans="1:25" x14ac:dyDescent="0.25">
      <c r="A1446" s="34">
        <f t="shared" si="347"/>
        <v>1438</v>
      </c>
      <c r="B1446" s="35">
        <f t="shared" si="347"/>
        <v>34</v>
      </c>
      <c r="C1446" s="50" t="s">
        <v>384</v>
      </c>
      <c r="D1446" s="51">
        <v>161</v>
      </c>
      <c r="E1446" s="51"/>
      <c r="F1446" s="36">
        <f t="shared" ca="1" si="348"/>
        <v>0.13636999999999999</v>
      </c>
      <c r="G1446" s="36">
        <f t="shared" ca="1" si="348"/>
        <v>2.6864890000000002E-2</v>
      </c>
      <c r="H1446" s="36">
        <v>6.3759999999999997E-2</v>
      </c>
      <c r="I1446" s="37">
        <f t="shared" ca="1" si="348"/>
        <v>9.5637000000000014E-3</v>
      </c>
      <c r="J1446" s="32">
        <f t="shared" si="334"/>
        <v>0.14186599999999999</v>
      </c>
      <c r="K1446" s="33">
        <f t="shared" si="337"/>
        <v>2.1279899999999997E-2</v>
      </c>
      <c r="L1446" s="52"/>
      <c r="O1446" s="2">
        <f t="shared" si="339"/>
        <v>2.6566666666666666E-2</v>
      </c>
      <c r="P1446" s="2">
        <f t="shared" si="340"/>
        <v>19.128</v>
      </c>
      <c r="Q1446" s="7">
        <f t="shared" si="341"/>
        <v>86.630434782608702</v>
      </c>
      <c r="R1446" s="2">
        <v>1.2</v>
      </c>
      <c r="S1446" s="2">
        <f t="shared" si="335"/>
        <v>4.45</v>
      </c>
      <c r="T1446" s="2"/>
      <c r="U1446" s="2"/>
      <c r="Y1446" s="8">
        <f t="shared" si="336"/>
        <v>3.0840434782608694</v>
      </c>
    </row>
    <row r="1447" spans="1:25" x14ac:dyDescent="0.25">
      <c r="A1447" s="34">
        <f t="shared" si="347"/>
        <v>1439</v>
      </c>
      <c r="B1447" s="35">
        <f t="shared" si="347"/>
        <v>35</v>
      </c>
      <c r="C1447" s="50" t="s">
        <v>384</v>
      </c>
      <c r="D1447" s="51">
        <v>165</v>
      </c>
      <c r="E1447" s="51"/>
      <c r="F1447" s="36">
        <f t="shared" ca="1" si="348"/>
        <v>0.1799</v>
      </c>
      <c r="G1447" s="36">
        <f t="shared" ca="1" si="348"/>
        <v>3.5440300000000001E-2</v>
      </c>
      <c r="H1447" s="36">
        <v>0.11074000000000001</v>
      </c>
      <c r="I1447" s="37">
        <f t="shared" ca="1" si="348"/>
        <v>1.661085E-2</v>
      </c>
      <c r="J1447" s="32">
        <f t="shared" si="334"/>
        <v>0.20486900000000002</v>
      </c>
      <c r="K1447" s="33">
        <f t="shared" si="337"/>
        <v>3.0730350000000003E-2</v>
      </c>
      <c r="L1447" s="52"/>
      <c r="O1447" s="2">
        <f t="shared" si="339"/>
        <v>4.6141666666666671E-2</v>
      </c>
      <c r="P1447" s="2">
        <f t="shared" si="340"/>
        <v>33.222000000000008</v>
      </c>
      <c r="Q1447" s="7">
        <f t="shared" si="341"/>
        <v>150.46195652173918</v>
      </c>
      <c r="R1447" s="2">
        <v>1.2</v>
      </c>
      <c r="S1447" s="2">
        <f t="shared" si="335"/>
        <v>3.7</v>
      </c>
      <c r="T1447" s="2"/>
      <c r="U1447" s="2"/>
      <c r="Y1447" s="8">
        <f t="shared" si="336"/>
        <v>4.4536739130434784</v>
      </c>
    </row>
    <row r="1448" spans="1:25" x14ac:dyDescent="0.25">
      <c r="A1448" s="34">
        <f t="shared" si="347"/>
        <v>1440</v>
      </c>
      <c r="B1448" s="35">
        <f t="shared" si="347"/>
        <v>36</v>
      </c>
      <c r="C1448" s="50" t="s">
        <v>384</v>
      </c>
      <c r="D1448" s="51">
        <v>166</v>
      </c>
      <c r="E1448" s="51"/>
      <c r="F1448" s="36">
        <v>7.4870000000000006E-2</v>
      </c>
      <c r="G1448" s="36">
        <f>F1448*0.197</f>
        <v>1.4749390000000001E-2</v>
      </c>
      <c r="H1448" s="36">
        <v>5.645E-2</v>
      </c>
      <c r="I1448" s="37">
        <f>H1448*0.15</f>
        <v>8.4674999999999993E-3</v>
      </c>
      <c r="J1448" s="32">
        <f t="shared" si="334"/>
        <v>0.12560125</v>
      </c>
      <c r="K1448" s="33">
        <f t="shared" si="337"/>
        <v>1.8840187499999998E-2</v>
      </c>
      <c r="L1448" s="52"/>
      <c r="O1448" s="2">
        <f t="shared" si="339"/>
        <v>2.3520833333333335E-2</v>
      </c>
      <c r="P1448" s="2">
        <f t="shared" si="340"/>
        <v>16.934999999999999</v>
      </c>
      <c r="Q1448" s="7">
        <f t="shared" si="341"/>
        <v>76.698369565217391</v>
      </c>
      <c r="R1448" s="2">
        <v>1.2</v>
      </c>
      <c r="S1448" s="2">
        <f t="shared" si="335"/>
        <v>4.45</v>
      </c>
      <c r="T1448" s="2"/>
      <c r="U1448" s="2"/>
      <c r="Y1448" s="8">
        <f t="shared" si="336"/>
        <v>2.7304619565217392</v>
      </c>
    </row>
    <row r="1449" spans="1:25" x14ac:dyDescent="0.25">
      <c r="A1449" s="34">
        <f t="shared" si="347"/>
        <v>1441</v>
      </c>
      <c r="B1449" s="35">
        <f t="shared" si="347"/>
        <v>37</v>
      </c>
      <c r="C1449" s="50" t="s">
        <v>384</v>
      </c>
      <c r="D1449" s="51">
        <v>168</v>
      </c>
      <c r="E1449" s="51">
        <v>1</v>
      </c>
      <c r="F1449" s="36">
        <f ca="1">SUM(F1449:F1449)</f>
        <v>0.11277</v>
      </c>
      <c r="G1449" s="36">
        <f t="shared" ref="G1449:I1450" ca="1" si="349">SUM(G1448:G1449)</f>
        <v>3.6965079999999997E-2</v>
      </c>
      <c r="H1449" s="36">
        <v>4.5130000000000003E-2</v>
      </c>
      <c r="I1449" s="37">
        <f t="shared" ca="1" si="349"/>
        <v>1.5236999999999999E-2</v>
      </c>
      <c r="J1449" s="32">
        <f t="shared" si="334"/>
        <v>0.10041425000000002</v>
      </c>
      <c r="K1449" s="33">
        <f t="shared" si="337"/>
        <v>1.5062137500000003E-2</v>
      </c>
      <c r="L1449" s="52"/>
      <c r="O1449" s="2">
        <f t="shared" si="339"/>
        <v>1.880416666666667E-2</v>
      </c>
      <c r="P1449" s="2">
        <f t="shared" si="340"/>
        <v>13.539000000000003</v>
      </c>
      <c r="Q1449" s="7">
        <f t="shared" si="341"/>
        <v>61.31793478260871</v>
      </c>
      <c r="R1449" s="2">
        <v>1.2</v>
      </c>
      <c r="S1449" s="2">
        <f t="shared" si="335"/>
        <v>4.45</v>
      </c>
      <c r="T1449" s="2"/>
      <c r="U1449" s="2"/>
      <c r="Y1449" s="8">
        <f t="shared" si="336"/>
        <v>2.1829184782608699</v>
      </c>
    </row>
    <row r="1450" spans="1:25" x14ac:dyDescent="0.25">
      <c r="A1450" s="34">
        <f t="shared" si="347"/>
        <v>1442</v>
      </c>
      <c r="B1450" s="35">
        <f t="shared" si="347"/>
        <v>38</v>
      </c>
      <c r="C1450" s="50" t="s">
        <v>384</v>
      </c>
      <c r="D1450" s="51">
        <v>168</v>
      </c>
      <c r="E1450" s="51">
        <v>2</v>
      </c>
      <c r="F1450" s="36">
        <f ca="1">SUM(F1450:F1450)</f>
        <v>0.11277</v>
      </c>
      <c r="G1450" s="36">
        <f t="shared" ca="1" si="349"/>
        <v>3.6965079999999997E-2</v>
      </c>
      <c r="H1450" s="36">
        <v>4.5130000000000003E-2</v>
      </c>
      <c r="I1450" s="37">
        <f t="shared" ca="1" si="349"/>
        <v>1.5236999999999999E-2</v>
      </c>
      <c r="J1450" s="32">
        <f t="shared" si="334"/>
        <v>0.10041425000000002</v>
      </c>
      <c r="K1450" s="33">
        <f t="shared" si="337"/>
        <v>1.5062137500000003E-2</v>
      </c>
      <c r="L1450" s="52"/>
      <c r="O1450" s="2">
        <f t="shared" si="339"/>
        <v>1.880416666666667E-2</v>
      </c>
      <c r="P1450" s="2">
        <f t="shared" si="340"/>
        <v>13.539000000000003</v>
      </c>
      <c r="Q1450" s="7">
        <f t="shared" si="341"/>
        <v>61.31793478260871</v>
      </c>
      <c r="R1450" s="2">
        <v>1.2</v>
      </c>
      <c r="S1450" s="2">
        <f t="shared" si="335"/>
        <v>4.45</v>
      </c>
      <c r="T1450" s="2"/>
      <c r="U1450" s="2"/>
      <c r="Y1450" s="8">
        <f t="shared" si="336"/>
        <v>2.1829184782608699</v>
      </c>
    </row>
    <row r="1451" spans="1:25" x14ac:dyDescent="0.25">
      <c r="A1451" s="34">
        <f t="shared" ref="A1451:B1466" si="350">A1450+1</f>
        <v>1443</v>
      </c>
      <c r="B1451" s="35">
        <f t="shared" si="350"/>
        <v>39</v>
      </c>
      <c r="C1451" s="50" t="s">
        <v>384</v>
      </c>
      <c r="D1451" s="51">
        <v>199</v>
      </c>
      <c r="E1451" s="51"/>
      <c r="F1451" s="36">
        <f ca="1">SUM(F1451:F1451)</f>
        <v>0.10419</v>
      </c>
      <c r="G1451" s="36">
        <f ca="1">SUM(G1451:G1451)</f>
        <v>2.0525430000000001E-2</v>
      </c>
      <c r="H1451" s="36">
        <v>6.5479999999999997E-2</v>
      </c>
      <c r="I1451" s="37">
        <f ca="1">SUM(I1451:I1451)</f>
        <v>9.8217000000000009E-3</v>
      </c>
      <c r="J1451" s="32">
        <f t="shared" si="334"/>
        <v>0.14569299999999999</v>
      </c>
      <c r="K1451" s="33">
        <f t="shared" si="337"/>
        <v>2.1853949999999997E-2</v>
      </c>
      <c r="L1451" s="52"/>
      <c r="O1451" s="2">
        <f t="shared" si="339"/>
        <v>2.7283333333333333E-2</v>
      </c>
      <c r="P1451" s="2">
        <f t="shared" si="340"/>
        <v>19.644000000000002</v>
      </c>
      <c r="Q1451" s="7">
        <f t="shared" si="341"/>
        <v>88.967391304347842</v>
      </c>
      <c r="R1451" s="2">
        <v>1.2</v>
      </c>
      <c r="S1451" s="2">
        <f t="shared" si="335"/>
        <v>4.45</v>
      </c>
      <c r="T1451" s="2"/>
      <c r="U1451" s="2"/>
      <c r="Y1451" s="8">
        <f t="shared" si="336"/>
        <v>3.1672391304347824</v>
      </c>
    </row>
    <row r="1452" spans="1:25" x14ac:dyDescent="0.25">
      <c r="A1452" s="34">
        <f t="shared" si="350"/>
        <v>1444</v>
      </c>
      <c r="B1452" s="35">
        <f t="shared" si="350"/>
        <v>40</v>
      </c>
      <c r="C1452" s="50" t="s">
        <v>384</v>
      </c>
      <c r="D1452" s="51">
        <v>222</v>
      </c>
      <c r="E1452" s="51"/>
      <c r="F1452" s="36">
        <v>0.14863000000000001</v>
      </c>
      <c r="G1452" s="36">
        <f>F1452*0.197</f>
        <v>2.9280110000000005E-2</v>
      </c>
      <c r="H1452" s="36">
        <v>9.4939999999999997E-2</v>
      </c>
      <c r="I1452" s="37">
        <f>H1452*0.15</f>
        <v>1.4240999999999998E-2</v>
      </c>
      <c r="J1452" s="32">
        <f t="shared" si="334"/>
        <v>0.2112415</v>
      </c>
      <c r="K1452" s="33">
        <f t="shared" si="337"/>
        <v>3.1686224999999998E-2</v>
      </c>
      <c r="L1452" s="52"/>
      <c r="O1452" s="2">
        <f t="shared" si="339"/>
        <v>3.9558333333333334E-2</v>
      </c>
      <c r="P1452" s="2">
        <f t="shared" si="340"/>
        <v>28.481999999999999</v>
      </c>
      <c r="Q1452" s="7">
        <f t="shared" si="341"/>
        <v>128.99456521739131</v>
      </c>
      <c r="R1452" s="2">
        <v>1.2</v>
      </c>
      <c r="S1452" s="2">
        <f t="shared" si="335"/>
        <v>4.45</v>
      </c>
      <c r="T1452" s="2"/>
      <c r="U1452" s="2"/>
      <c r="Y1452" s="8">
        <f t="shared" si="336"/>
        <v>4.592206521739131</v>
      </c>
    </row>
    <row r="1453" spans="1:25" x14ac:dyDescent="0.25">
      <c r="A1453" s="34">
        <f t="shared" si="350"/>
        <v>1445</v>
      </c>
      <c r="B1453" s="35">
        <f t="shared" si="350"/>
        <v>41</v>
      </c>
      <c r="C1453" s="50" t="s">
        <v>384</v>
      </c>
      <c r="D1453" s="51">
        <v>224</v>
      </c>
      <c r="E1453" s="51"/>
      <c r="F1453" s="36">
        <v>0.16</v>
      </c>
      <c r="G1453" s="36">
        <f>F1453*0.197</f>
        <v>3.1519999999999999E-2</v>
      </c>
      <c r="H1453" s="36">
        <v>0.08</v>
      </c>
      <c r="I1453" s="37">
        <f>H1453*0.15</f>
        <v>1.2E-2</v>
      </c>
      <c r="J1453" s="32">
        <f t="shared" si="334"/>
        <v>0.17800000000000002</v>
      </c>
      <c r="K1453" s="33">
        <f t="shared" si="337"/>
        <v>2.6700000000000002E-2</v>
      </c>
      <c r="L1453" s="52"/>
      <c r="O1453" s="2">
        <f t="shared" si="339"/>
        <v>3.3333333333333333E-2</v>
      </c>
      <c r="P1453" s="2">
        <f t="shared" si="340"/>
        <v>24</v>
      </c>
      <c r="Q1453" s="7">
        <f t="shared" si="341"/>
        <v>108.69565217391305</v>
      </c>
      <c r="R1453" s="2">
        <v>1.2</v>
      </c>
      <c r="S1453" s="2">
        <f t="shared" si="335"/>
        <v>4.45</v>
      </c>
      <c r="T1453" s="2"/>
      <c r="U1453" s="2"/>
      <c r="Y1453" s="8">
        <f t="shared" si="336"/>
        <v>3.8695652173913047</v>
      </c>
    </row>
    <row r="1454" spans="1:25" x14ac:dyDescent="0.25">
      <c r="A1454" s="34">
        <f t="shared" si="350"/>
        <v>1446</v>
      </c>
      <c r="B1454" s="35">
        <f t="shared" si="350"/>
        <v>42</v>
      </c>
      <c r="C1454" s="50" t="s">
        <v>384</v>
      </c>
      <c r="D1454" s="51">
        <v>246</v>
      </c>
      <c r="E1454" s="51"/>
      <c r="F1454" s="36">
        <v>8.0570000000000003E-2</v>
      </c>
      <c r="G1454" s="36">
        <f>F1454*0.197</f>
        <v>1.5872290000000001E-2</v>
      </c>
      <c r="H1454" s="36">
        <v>2.9440000000000001E-2</v>
      </c>
      <c r="I1454" s="37">
        <f>H1454*0.15</f>
        <v>4.4159999999999998E-3</v>
      </c>
      <c r="J1454" s="32">
        <f t="shared" si="334"/>
        <v>6.5504000000000007E-2</v>
      </c>
      <c r="K1454" s="33">
        <f t="shared" si="337"/>
        <v>9.8256000000000003E-3</v>
      </c>
      <c r="L1454" s="52"/>
      <c r="O1454" s="2">
        <f t="shared" si="339"/>
        <v>1.2266666666666667E-2</v>
      </c>
      <c r="P1454" s="2">
        <f t="shared" si="340"/>
        <v>8.8320000000000007</v>
      </c>
      <c r="Q1454" s="7">
        <f t="shared" si="341"/>
        <v>40.000000000000007</v>
      </c>
      <c r="R1454" s="2">
        <v>1.2</v>
      </c>
      <c r="S1454" s="2">
        <f t="shared" si="335"/>
        <v>4.45</v>
      </c>
      <c r="T1454" s="2"/>
      <c r="U1454" s="2"/>
      <c r="Y1454" s="8">
        <f t="shared" si="336"/>
        <v>1.4240000000000002</v>
      </c>
    </row>
    <row r="1455" spans="1:25" x14ac:dyDescent="0.25">
      <c r="A1455" s="34">
        <f t="shared" si="350"/>
        <v>1447</v>
      </c>
      <c r="B1455" s="35">
        <f t="shared" si="350"/>
        <v>43</v>
      </c>
      <c r="C1455" s="50" t="s">
        <v>384</v>
      </c>
      <c r="D1455" s="51">
        <v>248</v>
      </c>
      <c r="E1455" s="51"/>
      <c r="F1455" s="36">
        <v>0.12496</v>
      </c>
      <c r="G1455" s="36">
        <f>F1455*0.197</f>
        <v>2.4617120000000003E-2</v>
      </c>
      <c r="H1455" s="36">
        <v>5.6669999999999998E-2</v>
      </c>
      <c r="I1455" s="37">
        <f>H1455*0.15</f>
        <v>8.5004999999999994E-3</v>
      </c>
      <c r="J1455" s="32">
        <f t="shared" si="334"/>
        <v>0.12609075</v>
      </c>
      <c r="K1455" s="33">
        <f t="shared" si="337"/>
        <v>1.89136125E-2</v>
      </c>
      <c r="L1455" s="52"/>
      <c r="O1455" s="2">
        <f t="shared" si="339"/>
        <v>2.3612500000000002E-2</v>
      </c>
      <c r="P1455" s="2">
        <f t="shared" si="340"/>
        <v>17.000999999999998</v>
      </c>
      <c r="Q1455" s="7">
        <f t="shared" si="341"/>
        <v>76.997282608695642</v>
      </c>
      <c r="R1455" s="2">
        <v>1.2</v>
      </c>
      <c r="S1455" s="2">
        <f t="shared" si="335"/>
        <v>4.45</v>
      </c>
      <c r="T1455" s="2"/>
      <c r="U1455" s="2"/>
      <c r="Y1455" s="8">
        <f t="shared" si="336"/>
        <v>2.7411032608695649</v>
      </c>
    </row>
    <row r="1456" spans="1:25" x14ac:dyDescent="0.25">
      <c r="A1456" s="34">
        <f t="shared" si="350"/>
        <v>1448</v>
      </c>
      <c r="B1456" s="35">
        <f t="shared" si="350"/>
        <v>44</v>
      </c>
      <c r="C1456" s="50" t="s">
        <v>384</v>
      </c>
      <c r="D1456" s="51" t="s">
        <v>385</v>
      </c>
      <c r="E1456" s="51"/>
      <c r="F1456" s="36">
        <f t="shared" ref="F1456:I1457" ca="1" si="351">SUM(F1456:F1456)</f>
        <v>0.14549999999999999</v>
      </c>
      <c r="G1456" s="36">
        <f t="shared" ca="1" si="351"/>
        <v>2.8663500000000001E-2</v>
      </c>
      <c r="H1456" s="36">
        <v>6.1089999999999998E-2</v>
      </c>
      <c r="I1456" s="37">
        <f t="shared" ca="1" si="351"/>
        <v>9.1634999999999998E-3</v>
      </c>
      <c r="J1456" s="32">
        <f t="shared" si="334"/>
        <v>0.13592525</v>
      </c>
      <c r="K1456" s="33">
        <f t="shared" si="337"/>
        <v>2.0388787499999998E-2</v>
      </c>
      <c r="L1456" s="52"/>
      <c r="O1456" s="2">
        <f t="shared" si="339"/>
        <v>2.5454166666666667E-2</v>
      </c>
      <c r="P1456" s="2">
        <f t="shared" si="340"/>
        <v>18.326999999999998</v>
      </c>
      <c r="Q1456" s="7">
        <f t="shared" si="341"/>
        <v>83.002717391304344</v>
      </c>
      <c r="R1456" s="2">
        <v>1.2</v>
      </c>
      <c r="S1456" s="2">
        <f t="shared" si="335"/>
        <v>4.45</v>
      </c>
      <c r="T1456" s="2"/>
      <c r="U1456" s="2"/>
      <c r="Y1456" s="8">
        <f t="shared" si="336"/>
        <v>2.9548967391304348</v>
      </c>
    </row>
    <row r="1457" spans="1:25" x14ac:dyDescent="0.25">
      <c r="A1457" s="34">
        <f t="shared" si="350"/>
        <v>1449</v>
      </c>
      <c r="B1457" s="35">
        <f t="shared" si="350"/>
        <v>45</v>
      </c>
      <c r="C1457" s="50" t="s">
        <v>384</v>
      </c>
      <c r="D1457" s="51">
        <v>250</v>
      </c>
      <c r="E1457" s="51"/>
      <c r="F1457" s="36">
        <f t="shared" ca="1" si="351"/>
        <v>0.19658</v>
      </c>
      <c r="G1457" s="36">
        <f t="shared" ca="1" si="351"/>
        <v>3.8726259999999998E-2</v>
      </c>
      <c r="H1457" s="36">
        <v>7.213E-2</v>
      </c>
      <c r="I1457" s="37">
        <f t="shared" ca="1" si="351"/>
        <v>1.0819499999999999E-2</v>
      </c>
      <c r="J1457" s="32">
        <f t="shared" si="334"/>
        <v>0.16048925</v>
      </c>
      <c r="K1457" s="33">
        <f t="shared" si="337"/>
        <v>2.4073387499999998E-2</v>
      </c>
      <c r="L1457" s="52"/>
      <c r="O1457" s="2">
        <f t="shared" si="339"/>
        <v>3.0054166666666667E-2</v>
      </c>
      <c r="P1457" s="2">
        <f t="shared" si="340"/>
        <v>21.639000000000003</v>
      </c>
      <c r="Q1457" s="7">
        <f t="shared" si="341"/>
        <v>98.002717391304358</v>
      </c>
      <c r="R1457" s="2">
        <v>1.2</v>
      </c>
      <c r="S1457" s="2">
        <f t="shared" si="335"/>
        <v>4.45</v>
      </c>
      <c r="T1457" s="2"/>
      <c r="U1457" s="2"/>
      <c r="Y1457" s="8">
        <f t="shared" si="336"/>
        <v>3.4888967391304346</v>
      </c>
    </row>
    <row r="1458" spans="1:25" x14ac:dyDescent="0.25">
      <c r="A1458" s="34">
        <f t="shared" si="350"/>
        <v>1450</v>
      </c>
      <c r="B1458" s="35">
        <f t="shared" si="350"/>
        <v>46</v>
      </c>
      <c r="C1458" s="50" t="s">
        <v>386</v>
      </c>
      <c r="D1458" s="51">
        <v>37</v>
      </c>
      <c r="E1458" s="51"/>
      <c r="F1458" s="36">
        <v>3.0195E-2</v>
      </c>
      <c r="G1458" s="36">
        <f>F1458*0.197</f>
        <v>5.9484150000000003E-3</v>
      </c>
      <c r="H1458" s="36">
        <v>6.6239999999999997E-3</v>
      </c>
      <c r="I1458" s="37">
        <f>H1458*0.15</f>
        <v>9.9359999999999987E-4</v>
      </c>
      <c r="J1458" s="32">
        <f t="shared" si="334"/>
        <v>1.47384E-2</v>
      </c>
      <c r="K1458" s="33">
        <f t="shared" si="337"/>
        <v>2.21076E-3</v>
      </c>
      <c r="L1458" s="52"/>
      <c r="O1458" s="2">
        <f t="shared" si="339"/>
        <v>2.7599999999999999E-3</v>
      </c>
      <c r="P1458" s="2">
        <f t="shared" si="340"/>
        <v>1.9871999999999999</v>
      </c>
      <c r="Q1458" s="7">
        <f t="shared" si="341"/>
        <v>9</v>
      </c>
      <c r="R1458" s="2">
        <v>1.2</v>
      </c>
      <c r="S1458" s="2">
        <f t="shared" si="335"/>
        <v>4.45</v>
      </c>
      <c r="T1458" s="2"/>
      <c r="U1458" s="2"/>
      <c r="Y1458" s="8">
        <f t="shared" si="336"/>
        <v>0.32040000000000002</v>
      </c>
    </row>
    <row r="1459" spans="1:25" x14ac:dyDescent="0.25">
      <c r="A1459" s="34">
        <f t="shared" si="350"/>
        <v>1451</v>
      </c>
      <c r="B1459" s="35">
        <f t="shared" si="350"/>
        <v>47</v>
      </c>
      <c r="C1459" s="50" t="s">
        <v>387</v>
      </c>
      <c r="D1459" s="51" t="s">
        <v>144</v>
      </c>
      <c r="E1459" s="51"/>
      <c r="F1459" s="36">
        <v>5.4330000000000003E-2</v>
      </c>
      <c r="G1459" s="36">
        <f>F1459*0.197</f>
        <v>1.0703010000000001E-2</v>
      </c>
      <c r="H1459" s="36">
        <v>2.061E-2</v>
      </c>
      <c r="I1459" s="37">
        <f>H1459*0.15</f>
        <v>3.0915000000000001E-3</v>
      </c>
      <c r="J1459" s="32">
        <f t="shared" si="334"/>
        <v>4.5857250000000002E-2</v>
      </c>
      <c r="K1459" s="33">
        <f t="shared" si="337"/>
        <v>6.8785875E-3</v>
      </c>
      <c r="L1459" s="52"/>
      <c r="O1459" s="2">
        <f t="shared" si="339"/>
        <v>8.5874999999999996E-3</v>
      </c>
      <c r="P1459" s="2">
        <f t="shared" si="340"/>
        <v>6.1829999999999998</v>
      </c>
      <c r="Q1459" s="7">
        <f t="shared" si="341"/>
        <v>28.002717391304348</v>
      </c>
      <c r="R1459" s="2">
        <v>1.2</v>
      </c>
      <c r="S1459" s="2">
        <f t="shared" si="335"/>
        <v>4.45</v>
      </c>
      <c r="T1459" s="2"/>
      <c r="U1459" s="2"/>
      <c r="Y1459" s="8">
        <f t="shared" si="336"/>
        <v>0.99689673913043475</v>
      </c>
    </row>
    <row r="1460" spans="1:25" x14ac:dyDescent="0.25">
      <c r="A1460" s="34">
        <f t="shared" si="350"/>
        <v>1452</v>
      </c>
      <c r="B1460" s="35">
        <f t="shared" si="350"/>
        <v>48</v>
      </c>
      <c r="C1460" s="50" t="s">
        <v>387</v>
      </c>
      <c r="D1460" s="51" t="s">
        <v>388</v>
      </c>
      <c r="E1460" s="51"/>
      <c r="F1460" s="36">
        <v>9.3505000000000005E-2</v>
      </c>
      <c r="G1460" s="36">
        <f>F1460*0.197</f>
        <v>1.8420485E-2</v>
      </c>
      <c r="H1460" s="36">
        <v>3.4594E-2</v>
      </c>
      <c r="I1460" s="37">
        <f>H1460*0.15</f>
        <v>5.1890999999999994E-3</v>
      </c>
      <c r="J1460" s="32">
        <f t="shared" si="334"/>
        <v>7.6971650000000003E-2</v>
      </c>
      <c r="K1460" s="33">
        <f t="shared" si="337"/>
        <v>1.15457475E-2</v>
      </c>
      <c r="L1460" s="52"/>
      <c r="O1460" s="2">
        <f t="shared" si="339"/>
        <v>1.4414166666666667E-2</v>
      </c>
      <c r="P1460" s="2">
        <f t="shared" si="340"/>
        <v>10.378200000000001</v>
      </c>
      <c r="Q1460" s="7">
        <f t="shared" si="341"/>
        <v>47.002717391304358</v>
      </c>
      <c r="R1460" s="2">
        <v>1.2</v>
      </c>
      <c r="S1460" s="2">
        <f t="shared" si="335"/>
        <v>4.45</v>
      </c>
      <c r="T1460" s="2"/>
      <c r="U1460" s="2"/>
      <c r="Y1460" s="8">
        <f t="shared" si="336"/>
        <v>1.673296739130435</v>
      </c>
    </row>
    <row r="1461" spans="1:25" x14ac:dyDescent="0.25">
      <c r="A1461" s="34">
        <f t="shared" si="350"/>
        <v>1453</v>
      </c>
      <c r="B1461" s="35">
        <f t="shared" si="350"/>
        <v>49</v>
      </c>
      <c r="C1461" s="50" t="s">
        <v>387</v>
      </c>
      <c r="D1461" s="51">
        <v>4</v>
      </c>
      <c r="E1461" s="51"/>
      <c r="F1461" s="36">
        <v>5.1360000000000003E-2</v>
      </c>
      <c r="G1461" s="36">
        <f>F1461*0.197</f>
        <v>1.0117920000000001E-2</v>
      </c>
      <c r="H1461" s="36">
        <v>1.4718999999999999E-2</v>
      </c>
      <c r="I1461" s="37">
        <f>H1461*0.15</f>
        <v>2.2078499999999999E-3</v>
      </c>
      <c r="J1461" s="32">
        <f t="shared" si="334"/>
        <v>3.2749775000000002E-2</v>
      </c>
      <c r="K1461" s="33">
        <f t="shared" si="337"/>
        <v>4.9124662499999997E-3</v>
      </c>
      <c r="L1461" s="52"/>
      <c r="O1461" s="2">
        <f t="shared" si="339"/>
        <v>6.1329166666666667E-3</v>
      </c>
      <c r="P1461" s="2">
        <f t="shared" si="340"/>
        <v>4.4156999999999993</v>
      </c>
      <c r="Q1461" s="7">
        <f t="shared" si="341"/>
        <v>19.998641304347824</v>
      </c>
      <c r="R1461" s="2">
        <v>1.2</v>
      </c>
      <c r="S1461" s="2">
        <f t="shared" si="335"/>
        <v>4.45</v>
      </c>
      <c r="T1461" s="2"/>
      <c r="U1461" s="2"/>
      <c r="Y1461" s="8">
        <f t="shared" si="336"/>
        <v>0.71195163043478271</v>
      </c>
    </row>
    <row r="1462" spans="1:25" x14ac:dyDescent="0.25">
      <c r="A1462" s="34">
        <f t="shared" si="350"/>
        <v>1454</v>
      </c>
      <c r="B1462" s="35">
        <f t="shared" si="350"/>
        <v>50</v>
      </c>
      <c r="C1462" s="50" t="s">
        <v>387</v>
      </c>
      <c r="D1462" s="51">
        <v>8</v>
      </c>
      <c r="E1462" s="51"/>
      <c r="F1462" s="36">
        <f t="shared" ref="F1462:I1463" ca="1" si="352">SUM(F1462:F1462)</f>
        <v>9.017E-2</v>
      </c>
      <c r="G1462" s="36">
        <f t="shared" ca="1" si="352"/>
        <v>1.776349E-2</v>
      </c>
      <c r="H1462" s="36">
        <v>2.6190000000000001E-2</v>
      </c>
      <c r="I1462" s="37">
        <f t="shared" ca="1" si="352"/>
        <v>3.9283499999999997E-3</v>
      </c>
      <c r="J1462" s="32">
        <f t="shared" si="334"/>
        <v>5.8272750000000005E-2</v>
      </c>
      <c r="K1462" s="33">
        <f t="shared" si="337"/>
        <v>8.7409124999999997E-3</v>
      </c>
      <c r="L1462" s="52"/>
      <c r="O1462" s="2">
        <f t="shared" si="339"/>
        <v>1.09125E-2</v>
      </c>
      <c r="P1462" s="2">
        <f t="shared" si="340"/>
        <v>7.8570000000000011</v>
      </c>
      <c r="Q1462" s="7">
        <f t="shared" si="341"/>
        <v>35.584239130434788</v>
      </c>
      <c r="R1462" s="2">
        <v>1.2</v>
      </c>
      <c r="S1462" s="2">
        <f t="shared" si="335"/>
        <v>4.45</v>
      </c>
      <c r="T1462" s="2"/>
      <c r="U1462" s="2"/>
      <c r="Y1462" s="8">
        <f t="shared" si="336"/>
        <v>1.2667989130434785</v>
      </c>
    </row>
    <row r="1463" spans="1:25" x14ac:dyDescent="0.25">
      <c r="A1463" s="34">
        <f t="shared" si="350"/>
        <v>1455</v>
      </c>
      <c r="B1463" s="35">
        <f t="shared" si="350"/>
        <v>51</v>
      </c>
      <c r="C1463" s="50" t="s">
        <v>387</v>
      </c>
      <c r="D1463" s="51">
        <v>10</v>
      </c>
      <c r="E1463" s="51"/>
      <c r="F1463" s="36">
        <f t="shared" ca="1" si="352"/>
        <v>5.5969999999999999E-2</v>
      </c>
      <c r="G1463" s="36">
        <f t="shared" ca="1" si="352"/>
        <v>1.1026090000000001E-2</v>
      </c>
      <c r="H1463" s="36">
        <v>1.762E-2</v>
      </c>
      <c r="I1463" s="37">
        <f t="shared" ca="1" si="352"/>
        <v>2.6431499999999999E-3</v>
      </c>
      <c r="J1463" s="32">
        <f t="shared" si="334"/>
        <v>3.9204500000000003E-2</v>
      </c>
      <c r="K1463" s="33">
        <f t="shared" si="337"/>
        <v>5.8806750000000001E-3</v>
      </c>
      <c r="L1463" s="52"/>
      <c r="O1463" s="2">
        <f t="shared" si="339"/>
        <v>7.3416666666666673E-3</v>
      </c>
      <c r="P1463" s="2">
        <f t="shared" si="340"/>
        <v>5.2860000000000005</v>
      </c>
      <c r="Q1463" s="7">
        <f t="shared" si="341"/>
        <v>23.940217391304351</v>
      </c>
      <c r="R1463" s="2">
        <v>1.2</v>
      </c>
      <c r="S1463" s="2">
        <f t="shared" si="335"/>
        <v>4.45</v>
      </c>
      <c r="T1463" s="2"/>
      <c r="U1463" s="2"/>
      <c r="Y1463" s="8">
        <f t="shared" si="336"/>
        <v>0.85227173913043486</v>
      </c>
    </row>
    <row r="1464" spans="1:25" x14ac:dyDescent="0.25">
      <c r="A1464" s="34">
        <f t="shared" si="350"/>
        <v>1456</v>
      </c>
      <c r="B1464" s="35">
        <f t="shared" si="350"/>
        <v>52</v>
      </c>
      <c r="C1464" s="50" t="s">
        <v>387</v>
      </c>
      <c r="D1464" s="51">
        <v>26</v>
      </c>
      <c r="E1464" s="51"/>
      <c r="F1464" s="36">
        <v>6.2880000000000005E-2</v>
      </c>
      <c r="G1464" s="36">
        <f>F1464*0.197</f>
        <v>1.2387360000000002E-2</v>
      </c>
      <c r="H1464" s="36">
        <v>3.4590000000000003E-2</v>
      </c>
      <c r="I1464" s="37">
        <f>H1464*0.15</f>
        <v>5.1885000000000004E-3</v>
      </c>
      <c r="J1464" s="32">
        <f t="shared" si="334"/>
        <v>7.696275000000001E-2</v>
      </c>
      <c r="K1464" s="33">
        <f t="shared" si="337"/>
        <v>1.1544412500000002E-2</v>
      </c>
      <c r="L1464" s="52"/>
      <c r="O1464" s="2">
        <f t="shared" si="339"/>
        <v>1.4412500000000002E-2</v>
      </c>
      <c r="P1464" s="2">
        <f t="shared" si="340"/>
        <v>10.377000000000001</v>
      </c>
      <c r="Q1464" s="7">
        <f t="shared" si="341"/>
        <v>46.997282608695656</v>
      </c>
      <c r="R1464" s="2">
        <v>1.2</v>
      </c>
      <c r="S1464" s="2">
        <f t="shared" si="335"/>
        <v>4.45</v>
      </c>
      <c r="T1464" s="2"/>
      <c r="U1464" s="2"/>
      <c r="Y1464" s="8">
        <f t="shared" si="336"/>
        <v>1.6731032608695655</v>
      </c>
    </row>
    <row r="1465" spans="1:25" x14ac:dyDescent="0.25">
      <c r="A1465" s="34">
        <f t="shared" si="350"/>
        <v>1457</v>
      </c>
      <c r="B1465" s="35">
        <f t="shared" si="350"/>
        <v>53</v>
      </c>
      <c r="C1465" s="50" t="s">
        <v>387</v>
      </c>
      <c r="D1465" s="51">
        <v>30</v>
      </c>
      <c r="E1465" s="51"/>
      <c r="F1465" s="36">
        <f t="shared" ref="F1465:I1466" ca="1" si="353">SUM(F1465:F1465)</f>
        <v>0.15442999999999998</v>
      </c>
      <c r="G1465" s="36">
        <f t="shared" ca="1" si="353"/>
        <v>3.0422709999999999E-2</v>
      </c>
      <c r="H1465" s="36">
        <v>0.35336000000000001</v>
      </c>
      <c r="I1465" s="37">
        <f t="shared" ca="1" si="353"/>
        <v>5.3003849999999998E-2</v>
      </c>
      <c r="J1465" s="32">
        <f t="shared" si="334"/>
        <v>0.57421000000000011</v>
      </c>
      <c r="K1465" s="33">
        <f t="shared" si="337"/>
        <v>8.6131500000000014E-2</v>
      </c>
      <c r="L1465" s="24" t="s">
        <v>16</v>
      </c>
      <c r="O1465" s="2">
        <f t="shared" si="339"/>
        <v>0.14723333333333335</v>
      </c>
      <c r="P1465" s="2">
        <f t="shared" si="340"/>
        <v>106.00800000000002</v>
      </c>
      <c r="Q1465" s="7">
        <f t="shared" si="341"/>
        <v>480.10869565217405</v>
      </c>
      <c r="R1465" s="2">
        <v>1.2</v>
      </c>
      <c r="S1465" s="2">
        <f t="shared" si="335"/>
        <v>3.25</v>
      </c>
      <c r="T1465" s="2"/>
      <c r="U1465" s="2"/>
      <c r="Y1465" s="8">
        <f t="shared" si="336"/>
        <v>12.482826086956525</v>
      </c>
    </row>
    <row r="1466" spans="1:25" x14ac:dyDescent="0.25">
      <c r="A1466" s="34">
        <f t="shared" si="350"/>
        <v>1458</v>
      </c>
      <c r="B1466" s="35">
        <f t="shared" si="350"/>
        <v>54</v>
      </c>
      <c r="C1466" s="50" t="s">
        <v>387</v>
      </c>
      <c r="D1466" s="51">
        <v>34</v>
      </c>
      <c r="E1466" s="51"/>
      <c r="F1466" s="36">
        <f t="shared" ca="1" si="353"/>
        <v>0.10338</v>
      </c>
      <c r="G1466" s="36">
        <f t="shared" ca="1" si="353"/>
        <v>2.036586E-2</v>
      </c>
      <c r="H1466" s="36">
        <v>4.444E-2</v>
      </c>
      <c r="I1466" s="37">
        <f t="shared" ca="1" si="353"/>
        <v>6.6662999999999991E-3</v>
      </c>
      <c r="J1466" s="32">
        <f t="shared" si="334"/>
        <v>9.8879000000000009E-2</v>
      </c>
      <c r="K1466" s="33">
        <f t="shared" si="337"/>
        <v>1.4831850000000001E-2</v>
      </c>
      <c r="L1466" s="24" t="s">
        <v>16</v>
      </c>
      <c r="O1466" s="2">
        <f t="shared" si="339"/>
        <v>1.8516666666666667E-2</v>
      </c>
      <c r="P1466" s="2">
        <f t="shared" si="340"/>
        <v>13.332000000000001</v>
      </c>
      <c r="Q1466" s="7">
        <f t="shared" si="341"/>
        <v>60.380434782608702</v>
      </c>
      <c r="R1466" s="2">
        <v>1.2</v>
      </c>
      <c r="S1466" s="2">
        <f t="shared" si="335"/>
        <v>4.45</v>
      </c>
      <c r="T1466" s="2"/>
      <c r="U1466" s="2"/>
      <c r="Y1466" s="8">
        <f t="shared" si="336"/>
        <v>2.1495434782608696</v>
      </c>
    </row>
    <row r="1467" spans="1:25" x14ac:dyDescent="0.25">
      <c r="A1467" s="34">
        <f t="shared" ref="A1467:B1482" si="354">A1466+1</f>
        <v>1459</v>
      </c>
      <c r="B1467" s="35">
        <f t="shared" si="354"/>
        <v>55</v>
      </c>
      <c r="C1467" s="50" t="s">
        <v>387</v>
      </c>
      <c r="D1467" s="51">
        <v>36</v>
      </c>
      <c r="E1467" s="51"/>
      <c r="F1467" s="36">
        <v>7.485E-2</v>
      </c>
      <c r="G1467" s="36">
        <f>F1467*0.197</f>
        <v>1.474545E-2</v>
      </c>
      <c r="H1467" s="36">
        <v>1.7659999999999999E-2</v>
      </c>
      <c r="I1467" s="37">
        <f>H1467*0.15</f>
        <v>2.6489999999999999E-3</v>
      </c>
      <c r="J1467" s="32">
        <f t="shared" si="334"/>
        <v>3.9293499999999995E-2</v>
      </c>
      <c r="K1467" s="33">
        <f t="shared" si="337"/>
        <v>5.8940249999999989E-3</v>
      </c>
      <c r="L1467" s="24" t="s">
        <v>16</v>
      </c>
      <c r="O1467" s="2">
        <f t="shared" si="339"/>
        <v>7.358333333333333E-3</v>
      </c>
      <c r="P1467" s="2">
        <f t="shared" si="340"/>
        <v>5.2979999999999992</v>
      </c>
      <c r="Q1467" s="7">
        <f t="shared" si="341"/>
        <v>23.994565217391301</v>
      </c>
      <c r="R1467" s="2">
        <v>1.2</v>
      </c>
      <c r="S1467" s="2">
        <f t="shared" si="335"/>
        <v>4.45</v>
      </c>
      <c r="T1467" s="2"/>
      <c r="U1467" s="2"/>
      <c r="Y1467" s="8">
        <f t="shared" si="336"/>
        <v>0.85420652173913036</v>
      </c>
    </row>
    <row r="1468" spans="1:25" x14ac:dyDescent="0.25">
      <c r="A1468" s="34">
        <f t="shared" si="354"/>
        <v>1460</v>
      </c>
      <c r="B1468" s="35">
        <f t="shared" si="354"/>
        <v>56</v>
      </c>
      <c r="C1468" s="50" t="s">
        <v>387</v>
      </c>
      <c r="D1468" s="51">
        <v>38</v>
      </c>
      <c r="E1468" s="51"/>
      <c r="F1468" s="36">
        <f ca="1">SUM(F1468:F1468)</f>
        <v>5.8910000000000004E-2</v>
      </c>
      <c r="G1468" s="36">
        <f ca="1">SUM(G1468:G1468)</f>
        <v>1.1605270000000001E-2</v>
      </c>
      <c r="H1468" s="36">
        <v>3.7310000000000003E-2</v>
      </c>
      <c r="I1468" s="37">
        <f ca="1">SUM(I1468:I1468)</f>
        <v>5.5960499999999991E-3</v>
      </c>
      <c r="J1468" s="32">
        <f t="shared" si="334"/>
        <v>8.3014750000000012E-2</v>
      </c>
      <c r="K1468" s="33">
        <f t="shared" si="337"/>
        <v>1.2452212500000002E-2</v>
      </c>
      <c r="L1468" s="24" t="s">
        <v>16</v>
      </c>
      <c r="O1468" s="2">
        <f t="shared" si="339"/>
        <v>1.5545833333333335E-2</v>
      </c>
      <c r="P1468" s="2">
        <f t="shared" si="340"/>
        <v>11.193000000000001</v>
      </c>
      <c r="Q1468" s="7">
        <f t="shared" si="341"/>
        <v>50.692934782608702</v>
      </c>
      <c r="R1468" s="2">
        <v>1.2</v>
      </c>
      <c r="S1468" s="2">
        <f t="shared" si="335"/>
        <v>4.45</v>
      </c>
      <c r="T1468" s="2"/>
      <c r="U1468" s="2"/>
      <c r="Y1468" s="8">
        <f t="shared" si="336"/>
        <v>1.80466847826087</v>
      </c>
    </row>
    <row r="1469" spans="1:25" x14ac:dyDescent="0.25">
      <c r="A1469" s="34">
        <f t="shared" si="354"/>
        <v>1461</v>
      </c>
      <c r="B1469" s="35">
        <f t="shared" si="354"/>
        <v>57</v>
      </c>
      <c r="C1469" s="50" t="s">
        <v>387</v>
      </c>
      <c r="D1469" s="51">
        <v>64</v>
      </c>
      <c r="E1469" s="51"/>
      <c r="F1469" s="36">
        <v>0.17224999999999999</v>
      </c>
      <c r="G1469" s="36">
        <f>F1469*0.197</f>
        <v>3.3933249999999998E-2</v>
      </c>
      <c r="H1469" s="36">
        <v>4.6370000000000001E-2</v>
      </c>
      <c r="I1469" s="37">
        <f>H1469*0.15</f>
        <v>6.9554999999999999E-3</v>
      </c>
      <c r="J1469" s="32">
        <f t="shared" si="334"/>
        <v>0.10317325000000001</v>
      </c>
      <c r="K1469" s="33">
        <f t="shared" si="337"/>
        <v>1.54759875E-2</v>
      </c>
      <c r="L1469" s="52"/>
      <c r="O1469" s="2">
        <f t="shared" si="339"/>
        <v>1.9320833333333336E-2</v>
      </c>
      <c r="P1469" s="2">
        <f t="shared" si="340"/>
        <v>13.911000000000001</v>
      </c>
      <c r="Q1469" s="7">
        <f t="shared" si="341"/>
        <v>63.002717391304358</v>
      </c>
      <c r="R1469" s="2">
        <v>1.2</v>
      </c>
      <c r="S1469" s="2">
        <f t="shared" si="335"/>
        <v>4.45</v>
      </c>
      <c r="T1469" s="2"/>
      <c r="U1469" s="2"/>
      <c r="Y1469" s="8">
        <f t="shared" si="336"/>
        <v>2.2428967391304351</v>
      </c>
    </row>
    <row r="1470" spans="1:25" x14ac:dyDescent="0.25">
      <c r="A1470" s="34">
        <f t="shared" si="354"/>
        <v>1462</v>
      </c>
      <c r="B1470" s="35">
        <f t="shared" si="354"/>
        <v>58</v>
      </c>
      <c r="C1470" s="50" t="s">
        <v>389</v>
      </c>
      <c r="D1470" s="51" t="s">
        <v>144</v>
      </c>
      <c r="E1470" s="51"/>
      <c r="F1470" s="36">
        <f t="shared" ref="F1470:I1471" ca="1" si="355">SUM(F1470:F1470)</f>
        <v>0.16566999999999998</v>
      </c>
      <c r="G1470" s="36">
        <f t="shared" ca="1" si="355"/>
        <v>3.2636990000000005E-2</v>
      </c>
      <c r="H1470" s="36">
        <v>6.5500000000000003E-2</v>
      </c>
      <c r="I1470" s="37">
        <f t="shared" ca="1" si="355"/>
        <v>9.8250000000000004E-3</v>
      </c>
      <c r="J1470" s="32">
        <f t="shared" si="334"/>
        <v>0.14573750000000002</v>
      </c>
      <c r="K1470" s="33">
        <f t="shared" si="337"/>
        <v>2.1860625000000002E-2</v>
      </c>
      <c r="L1470" s="52"/>
      <c r="O1470" s="2">
        <f t="shared" si="339"/>
        <v>2.7291666666666669E-2</v>
      </c>
      <c r="P1470" s="2">
        <f t="shared" si="340"/>
        <v>19.650000000000002</v>
      </c>
      <c r="Q1470" s="7">
        <f t="shared" si="341"/>
        <v>88.994565217391312</v>
      </c>
      <c r="R1470" s="2">
        <v>1.2</v>
      </c>
      <c r="S1470" s="2">
        <f t="shared" si="335"/>
        <v>4.45</v>
      </c>
      <c r="T1470" s="2"/>
      <c r="U1470" s="2"/>
      <c r="Y1470" s="8">
        <f t="shared" si="336"/>
        <v>3.1682065217391306</v>
      </c>
    </row>
    <row r="1471" spans="1:25" x14ac:dyDescent="0.25">
      <c r="A1471" s="34">
        <f t="shared" si="354"/>
        <v>1463</v>
      </c>
      <c r="B1471" s="35">
        <f t="shared" si="354"/>
        <v>59</v>
      </c>
      <c r="C1471" s="50" t="s">
        <v>389</v>
      </c>
      <c r="D1471" s="51">
        <v>4</v>
      </c>
      <c r="E1471" s="51"/>
      <c r="F1471" s="36">
        <f t="shared" ca="1" si="355"/>
        <v>0.21340999999999999</v>
      </c>
      <c r="G1471" s="36">
        <f t="shared" ca="1" si="355"/>
        <v>4.2041769999999999E-2</v>
      </c>
      <c r="H1471" s="36">
        <v>5.8880000000000002E-2</v>
      </c>
      <c r="I1471" s="37">
        <f t="shared" ca="1" si="355"/>
        <v>8.8319999999999996E-3</v>
      </c>
      <c r="J1471" s="32">
        <f t="shared" si="334"/>
        <v>0.13100800000000001</v>
      </c>
      <c r="K1471" s="33">
        <f t="shared" si="337"/>
        <v>1.9651200000000001E-2</v>
      </c>
      <c r="L1471" s="52"/>
      <c r="O1471" s="2">
        <f t="shared" si="339"/>
        <v>2.4533333333333334E-2</v>
      </c>
      <c r="P1471" s="2">
        <f t="shared" si="340"/>
        <v>17.664000000000001</v>
      </c>
      <c r="Q1471" s="7">
        <f t="shared" si="341"/>
        <v>80.000000000000014</v>
      </c>
      <c r="R1471" s="2">
        <v>1.2</v>
      </c>
      <c r="S1471" s="2">
        <f t="shared" si="335"/>
        <v>4.45</v>
      </c>
      <c r="T1471" s="2"/>
      <c r="U1471" s="2"/>
      <c r="Y1471" s="8">
        <f t="shared" si="336"/>
        <v>2.8480000000000003</v>
      </c>
    </row>
    <row r="1472" spans="1:25" x14ac:dyDescent="0.25">
      <c r="A1472" s="34">
        <f t="shared" si="354"/>
        <v>1464</v>
      </c>
      <c r="B1472" s="35">
        <f t="shared" si="354"/>
        <v>60</v>
      </c>
      <c r="C1472" s="50" t="s">
        <v>389</v>
      </c>
      <c r="D1472" s="51">
        <v>7</v>
      </c>
      <c r="E1472" s="51"/>
      <c r="F1472" s="36">
        <v>0.1021</v>
      </c>
      <c r="G1472" s="36">
        <f>F1472*0.197</f>
        <v>2.0113700000000002E-2</v>
      </c>
      <c r="H1472" s="36">
        <v>2.9819999999999999E-2</v>
      </c>
      <c r="I1472" s="37">
        <f>H1472*0.15</f>
        <v>4.4729999999999995E-3</v>
      </c>
      <c r="J1472" s="32">
        <f t="shared" si="334"/>
        <v>6.6349500000000006E-2</v>
      </c>
      <c r="K1472" s="33">
        <f t="shared" si="337"/>
        <v>9.9524250000000009E-3</v>
      </c>
      <c r="L1472" s="24" t="s">
        <v>16</v>
      </c>
      <c r="O1472" s="2">
        <f t="shared" si="339"/>
        <v>1.2425E-2</v>
      </c>
      <c r="P1472" s="2">
        <f t="shared" si="340"/>
        <v>8.9460000000000015</v>
      </c>
      <c r="Q1472" s="7">
        <f t="shared" si="341"/>
        <v>40.516304347826093</v>
      </c>
      <c r="R1472" s="2">
        <v>1.2</v>
      </c>
      <c r="S1472" s="2">
        <f t="shared" si="335"/>
        <v>4.45</v>
      </c>
      <c r="T1472" s="2"/>
      <c r="U1472" s="2"/>
      <c r="Y1472" s="8">
        <f t="shared" si="336"/>
        <v>1.4423804347826088</v>
      </c>
    </row>
    <row r="1473" spans="1:25" x14ac:dyDescent="0.25">
      <c r="A1473" s="34">
        <f t="shared" si="354"/>
        <v>1465</v>
      </c>
      <c r="B1473" s="35">
        <f t="shared" si="354"/>
        <v>61</v>
      </c>
      <c r="C1473" s="50" t="s">
        <v>389</v>
      </c>
      <c r="D1473" s="51">
        <v>13</v>
      </c>
      <c r="E1473" s="51"/>
      <c r="F1473" s="36">
        <v>0.102141</v>
      </c>
      <c r="G1473" s="36">
        <f>F1473*0.197</f>
        <v>2.0121777E-2</v>
      </c>
      <c r="H1473" s="36">
        <v>2.0605999999999999E-2</v>
      </c>
      <c r="I1473" s="37">
        <f>H1473*0.15</f>
        <v>3.0908999999999997E-3</v>
      </c>
      <c r="J1473" s="32">
        <f t="shared" si="334"/>
        <v>4.584835000000001E-2</v>
      </c>
      <c r="K1473" s="33">
        <f t="shared" si="337"/>
        <v>6.877252500000001E-3</v>
      </c>
      <c r="L1473" s="24" t="s">
        <v>16</v>
      </c>
      <c r="O1473" s="2">
        <f t="shared" si="339"/>
        <v>8.5858333333333342E-3</v>
      </c>
      <c r="P1473" s="2">
        <f t="shared" si="340"/>
        <v>6.1818000000000008</v>
      </c>
      <c r="Q1473" s="7">
        <f t="shared" si="341"/>
        <v>27.997282608695656</v>
      </c>
      <c r="R1473" s="2">
        <v>1.2</v>
      </c>
      <c r="S1473" s="2">
        <f t="shared" si="335"/>
        <v>4.45</v>
      </c>
      <c r="T1473" s="2"/>
      <c r="U1473" s="2"/>
      <c r="Y1473" s="8">
        <f t="shared" si="336"/>
        <v>0.9967032608695654</v>
      </c>
    </row>
    <row r="1474" spans="1:25" x14ac:dyDescent="0.25">
      <c r="A1474" s="34">
        <f t="shared" si="354"/>
        <v>1466</v>
      </c>
      <c r="B1474" s="35">
        <f t="shared" si="354"/>
        <v>62</v>
      </c>
      <c r="C1474" s="50" t="s">
        <v>389</v>
      </c>
      <c r="D1474" s="51">
        <v>14</v>
      </c>
      <c r="E1474" s="51"/>
      <c r="F1474" s="36">
        <f t="shared" ref="F1474:I1475" ca="1" si="356">SUM(F1474:F1474)</f>
        <v>0.10274999999999999</v>
      </c>
      <c r="G1474" s="36">
        <f t="shared" ca="1" si="356"/>
        <v>2.0241749999999999E-2</v>
      </c>
      <c r="H1474" s="36">
        <v>2.486E-2</v>
      </c>
      <c r="I1474" s="37">
        <f t="shared" ca="1" si="356"/>
        <v>3.7285500000000002E-3</v>
      </c>
      <c r="J1474" s="32">
        <f t="shared" si="334"/>
        <v>5.5313500000000002E-2</v>
      </c>
      <c r="K1474" s="33">
        <f t="shared" si="337"/>
        <v>8.2970249999999995E-3</v>
      </c>
      <c r="L1474" s="24" t="s">
        <v>16</v>
      </c>
      <c r="O1474" s="2">
        <f t="shared" si="339"/>
        <v>1.0358333333333334E-2</v>
      </c>
      <c r="P1474" s="2">
        <f t="shared" si="340"/>
        <v>7.4580000000000002</v>
      </c>
      <c r="Q1474" s="7">
        <f t="shared" si="341"/>
        <v>33.777173913043477</v>
      </c>
      <c r="R1474" s="2">
        <v>1.2</v>
      </c>
      <c r="S1474" s="2">
        <f t="shared" si="335"/>
        <v>4.45</v>
      </c>
      <c r="T1474" s="2"/>
      <c r="U1474" s="2"/>
      <c r="Y1474" s="8">
        <f t="shared" si="336"/>
        <v>1.202467391304348</v>
      </c>
    </row>
    <row r="1475" spans="1:25" x14ac:dyDescent="0.25">
      <c r="A1475" s="34">
        <f t="shared" si="354"/>
        <v>1467</v>
      </c>
      <c r="B1475" s="35">
        <f t="shared" si="354"/>
        <v>63</v>
      </c>
      <c r="C1475" s="50" t="s">
        <v>389</v>
      </c>
      <c r="D1475" s="51">
        <v>20</v>
      </c>
      <c r="E1475" s="51"/>
      <c r="F1475" s="36">
        <f t="shared" ca="1" si="356"/>
        <v>9.4909999999999994E-2</v>
      </c>
      <c r="G1475" s="36">
        <f t="shared" ca="1" si="356"/>
        <v>1.8697269999999998E-2</v>
      </c>
      <c r="H1475" s="36">
        <v>4.8439999999999997E-2</v>
      </c>
      <c r="I1475" s="37">
        <f t="shared" ca="1" si="356"/>
        <v>7.266149999999999E-3</v>
      </c>
      <c r="J1475" s="32">
        <f t="shared" si="334"/>
        <v>0.10777900000000001</v>
      </c>
      <c r="K1475" s="33">
        <f t="shared" si="337"/>
        <v>1.616685E-2</v>
      </c>
      <c r="L1475" s="24" t="s">
        <v>16</v>
      </c>
      <c r="O1475" s="2">
        <f t="shared" si="339"/>
        <v>2.0183333333333334E-2</v>
      </c>
      <c r="P1475" s="2">
        <f t="shared" si="340"/>
        <v>14.532000000000002</v>
      </c>
      <c r="Q1475" s="7">
        <f t="shared" si="341"/>
        <v>65.815217391304358</v>
      </c>
      <c r="R1475" s="2">
        <v>1.2</v>
      </c>
      <c r="S1475" s="2">
        <f t="shared" si="335"/>
        <v>4.45</v>
      </c>
      <c r="T1475" s="2"/>
      <c r="U1475" s="2"/>
      <c r="Y1475" s="8">
        <f t="shared" si="336"/>
        <v>2.3430217391304349</v>
      </c>
    </row>
    <row r="1476" spans="1:25" x14ac:dyDescent="0.25">
      <c r="A1476" s="34">
        <f t="shared" si="354"/>
        <v>1468</v>
      </c>
      <c r="B1476" s="35">
        <f t="shared" si="354"/>
        <v>64</v>
      </c>
      <c r="C1476" s="50" t="s">
        <v>389</v>
      </c>
      <c r="D1476" s="51">
        <v>22</v>
      </c>
      <c r="E1476" s="51"/>
      <c r="F1476" s="36">
        <v>9.5039999999999999E-2</v>
      </c>
      <c r="G1476" s="36">
        <f>F1476*0.197</f>
        <v>1.8722880000000001E-2</v>
      </c>
      <c r="H1476" s="36">
        <v>3.3119999999999997E-2</v>
      </c>
      <c r="I1476" s="37">
        <f>H1476*0.15</f>
        <v>4.9679999999999993E-3</v>
      </c>
      <c r="J1476" s="32">
        <f t="shared" si="334"/>
        <v>7.3691999999999994E-2</v>
      </c>
      <c r="K1476" s="33">
        <f t="shared" si="337"/>
        <v>1.1053799999999999E-2</v>
      </c>
      <c r="L1476" s="52"/>
      <c r="O1476" s="2">
        <f t="shared" si="339"/>
        <v>1.38E-2</v>
      </c>
      <c r="P1476" s="2">
        <f t="shared" si="340"/>
        <v>9.9359999999999999</v>
      </c>
      <c r="Q1476" s="7">
        <f t="shared" si="341"/>
        <v>45</v>
      </c>
      <c r="R1476" s="2">
        <v>1.2</v>
      </c>
      <c r="S1476" s="2">
        <f t="shared" si="335"/>
        <v>4.45</v>
      </c>
      <c r="T1476" s="2"/>
      <c r="U1476" s="2"/>
      <c r="Y1476" s="8">
        <f t="shared" si="336"/>
        <v>1.6019999999999999</v>
      </c>
    </row>
    <row r="1477" spans="1:25" x14ac:dyDescent="0.25">
      <c r="A1477" s="34">
        <f t="shared" si="354"/>
        <v>1469</v>
      </c>
      <c r="B1477" s="35">
        <f t="shared" si="354"/>
        <v>65</v>
      </c>
      <c r="C1477" s="50" t="s">
        <v>389</v>
      </c>
      <c r="D1477" s="51" t="s">
        <v>390</v>
      </c>
      <c r="E1477" s="51">
        <v>1</v>
      </c>
      <c r="F1477" s="36">
        <v>0.15089</v>
      </c>
      <c r="G1477" s="36">
        <f>F1477*0.197</f>
        <v>2.9725330000000001E-2</v>
      </c>
      <c r="H1477" s="36">
        <v>6.4030000000000004E-2</v>
      </c>
      <c r="I1477" s="37">
        <f>H1477*0.15</f>
        <v>9.6045000000000002E-3</v>
      </c>
      <c r="J1477" s="32">
        <f t="shared" si="334"/>
        <v>0.14246675</v>
      </c>
      <c r="K1477" s="33">
        <f t="shared" si="337"/>
        <v>2.13700125E-2</v>
      </c>
      <c r="L1477" s="52"/>
      <c r="O1477" s="2">
        <f t="shared" si="339"/>
        <v>2.667916666666667E-2</v>
      </c>
      <c r="P1477" s="2">
        <f t="shared" si="340"/>
        <v>19.209000000000003</v>
      </c>
      <c r="Q1477" s="7">
        <f t="shared" si="341"/>
        <v>86.99728260869567</v>
      </c>
      <c r="R1477" s="2">
        <v>1.2</v>
      </c>
      <c r="S1477" s="2">
        <f t="shared" si="335"/>
        <v>4.45</v>
      </c>
      <c r="T1477" s="2"/>
      <c r="U1477" s="2"/>
      <c r="Y1477" s="8">
        <f t="shared" si="336"/>
        <v>3.0971032608695657</v>
      </c>
    </row>
    <row r="1478" spans="1:25" x14ac:dyDescent="0.25">
      <c r="A1478" s="34">
        <f t="shared" si="354"/>
        <v>1470</v>
      </c>
      <c r="B1478" s="35">
        <f t="shared" si="354"/>
        <v>66</v>
      </c>
      <c r="C1478" s="50" t="s">
        <v>389</v>
      </c>
      <c r="D1478" s="51" t="s">
        <v>390</v>
      </c>
      <c r="E1478" s="51">
        <v>2</v>
      </c>
      <c r="F1478" s="36">
        <v>0.15089</v>
      </c>
      <c r="G1478" s="36">
        <f>F1478*0.197</f>
        <v>2.9725330000000001E-2</v>
      </c>
      <c r="H1478" s="36">
        <v>6.4030000000000004E-2</v>
      </c>
      <c r="I1478" s="37">
        <f>H1478*0.15</f>
        <v>9.6045000000000002E-3</v>
      </c>
      <c r="J1478" s="32">
        <f t="shared" si="334"/>
        <v>0.14246675</v>
      </c>
      <c r="K1478" s="33">
        <f t="shared" si="337"/>
        <v>2.13700125E-2</v>
      </c>
      <c r="L1478" s="52"/>
      <c r="O1478" s="2">
        <f t="shared" si="339"/>
        <v>2.667916666666667E-2</v>
      </c>
      <c r="P1478" s="2">
        <f t="shared" si="340"/>
        <v>19.209000000000003</v>
      </c>
      <c r="Q1478" s="7">
        <f t="shared" si="341"/>
        <v>86.99728260869567</v>
      </c>
      <c r="R1478" s="2">
        <v>1.2</v>
      </c>
      <c r="S1478" s="2">
        <f t="shared" si="335"/>
        <v>4.45</v>
      </c>
      <c r="T1478" s="2"/>
      <c r="U1478" s="2"/>
      <c r="Y1478" s="8">
        <f t="shared" si="336"/>
        <v>3.0971032608695657</v>
      </c>
    </row>
    <row r="1479" spans="1:25" x14ac:dyDescent="0.25">
      <c r="A1479" s="34">
        <f t="shared" si="354"/>
        <v>1471</v>
      </c>
      <c r="B1479" s="35">
        <f t="shared" si="354"/>
        <v>67</v>
      </c>
      <c r="C1479" s="50" t="s">
        <v>389</v>
      </c>
      <c r="D1479" s="51">
        <v>37</v>
      </c>
      <c r="E1479" s="51"/>
      <c r="F1479" s="36">
        <v>9.7420000000000007E-2</v>
      </c>
      <c r="G1479" s="36">
        <f>F1479*0.197</f>
        <v>1.9191740000000002E-2</v>
      </c>
      <c r="H1479" s="36">
        <v>3.8780000000000002E-2</v>
      </c>
      <c r="I1479" s="37">
        <f>H1479*0.15</f>
        <v>5.8170000000000001E-3</v>
      </c>
      <c r="J1479" s="32">
        <f t="shared" si="334"/>
        <v>8.6285500000000001E-2</v>
      </c>
      <c r="K1479" s="33">
        <f t="shared" si="337"/>
        <v>1.2942825E-2</v>
      </c>
      <c r="L1479" s="52"/>
      <c r="O1479" s="2">
        <f t="shared" si="339"/>
        <v>1.6158333333333334E-2</v>
      </c>
      <c r="P1479" s="2">
        <f t="shared" si="340"/>
        <v>11.634</v>
      </c>
      <c r="Q1479" s="7">
        <f t="shared" si="341"/>
        <v>52.690217391304351</v>
      </c>
      <c r="R1479" s="2">
        <v>1.2</v>
      </c>
      <c r="S1479" s="2">
        <f t="shared" si="335"/>
        <v>4.45</v>
      </c>
      <c r="T1479" s="2"/>
      <c r="U1479" s="2"/>
      <c r="Y1479" s="8">
        <f t="shared" si="336"/>
        <v>1.8757717391304349</v>
      </c>
    </row>
    <row r="1480" spans="1:25" x14ac:dyDescent="0.25">
      <c r="A1480" s="34">
        <f t="shared" si="354"/>
        <v>1472</v>
      </c>
      <c r="B1480" s="35">
        <f t="shared" si="354"/>
        <v>68</v>
      </c>
      <c r="C1480" s="50" t="s">
        <v>389</v>
      </c>
      <c r="D1480" s="51" t="s">
        <v>224</v>
      </c>
      <c r="E1480" s="51"/>
      <c r="F1480" s="36">
        <f ca="1">SUM(F1480:F1480)</f>
        <v>0.14487</v>
      </c>
      <c r="G1480" s="36">
        <f ca="1">SUM(G1480:G1480)</f>
        <v>2.8539390000000001E-2</v>
      </c>
      <c r="H1480" s="36">
        <v>4.1680000000000002E-2</v>
      </c>
      <c r="I1480" s="37">
        <f ca="1">SUM(I1480:I1480)</f>
        <v>6.2519999999999997E-3</v>
      </c>
      <c r="J1480" s="32">
        <f t="shared" si="334"/>
        <v>9.2738000000000001E-2</v>
      </c>
      <c r="K1480" s="33">
        <f t="shared" si="337"/>
        <v>1.39107E-2</v>
      </c>
      <c r="L1480" s="52"/>
      <c r="O1480" s="2">
        <f t="shared" si="339"/>
        <v>1.7366666666666669E-2</v>
      </c>
      <c r="P1480" s="2">
        <f t="shared" si="340"/>
        <v>12.504000000000001</v>
      </c>
      <c r="Q1480" s="7">
        <f t="shared" si="341"/>
        <v>56.630434782608702</v>
      </c>
      <c r="R1480" s="2">
        <v>1.2</v>
      </c>
      <c r="S1480" s="2">
        <f t="shared" si="335"/>
        <v>4.45</v>
      </c>
      <c r="T1480" s="2"/>
      <c r="U1480" s="2"/>
      <c r="Y1480" s="8">
        <f t="shared" si="336"/>
        <v>2.0160434782608698</v>
      </c>
    </row>
    <row r="1481" spans="1:25" x14ac:dyDescent="0.25">
      <c r="A1481" s="34">
        <f t="shared" si="354"/>
        <v>1473</v>
      </c>
      <c r="B1481" s="35">
        <f t="shared" si="354"/>
        <v>69</v>
      </c>
      <c r="C1481" s="50" t="s">
        <v>389</v>
      </c>
      <c r="D1481" s="51" t="s">
        <v>391</v>
      </c>
      <c r="E1481" s="51"/>
      <c r="F1481" s="36">
        <v>7.8409999999999994E-2</v>
      </c>
      <c r="G1481" s="36">
        <f>F1481*0.197</f>
        <v>1.5446769999999999E-2</v>
      </c>
      <c r="H1481" s="36">
        <v>2.7230000000000001E-2</v>
      </c>
      <c r="I1481" s="37">
        <f>H1481*0.15</f>
        <v>4.0844999999999996E-3</v>
      </c>
      <c r="J1481" s="32">
        <f t="shared" ref="J1481:J1544" si="357">O1481*R1481*S1481</f>
        <v>6.0586750000000002E-2</v>
      </c>
      <c r="K1481" s="33">
        <f t="shared" si="337"/>
        <v>9.0880124999999992E-3</v>
      </c>
      <c r="L1481" s="52"/>
      <c r="O1481" s="2">
        <f t="shared" si="339"/>
        <v>1.1345833333333335E-2</v>
      </c>
      <c r="P1481" s="2">
        <f t="shared" si="340"/>
        <v>8.1690000000000005</v>
      </c>
      <c r="Q1481" s="7">
        <f t="shared" si="341"/>
        <v>36.997282608695656</v>
      </c>
      <c r="R1481" s="2">
        <v>1.2</v>
      </c>
      <c r="S1481" s="2">
        <f t="shared" ref="S1481:S1544" si="358">IF(Q1481&lt;=$AE$6,$AF$6,IF(Q1481&lt;=$AE$7,$AF$7,IF(Q1481&lt;=$AE$8,$AF$8,IF(Q1481&lt;=$AE$9,$AF$9,IF(Q1481&lt;=$AE$10,$AF$10,0)))))</f>
        <v>4.45</v>
      </c>
      <c r="T1481" s="2"/>
      <c r="U1481" s="2"/>
      <c r="Y1481" s="8">
        <f t="shared" ref="Y1481:Y1544" si="359">J1481/46*1000</f>
        <v>1.3171032608695654</v>
      </c>
    </row>
    <row r="1482" spans="1:25" x14ac:dyDescent="0.25">
      <c r="A1482" s="34">
        <f t="shared" si="354"/>
        <v>1474</v>
      </c>
      <c r="B1482" s="35">
        <f t="shared" si="354"/>
        <v>70</v>
      </c>
      <c r="C1482" s="50" t="s">
        <v>389</v>
      </c>
      <c r="D1482" s="51">
        <v>40</v>
      </c>
      <c r="E1482" s="51"/>
      <c r="F1482" s="36">
        <v>0.14419999999999999</v>
      </c>
      <c r="G1482" s="36">
        <f>F1482*0.197</f>
        <v>2.8407399999999999E-2</v>
      </c>
      <c r="H1482" s="36">
        <v>8.1339999999999996E-2</v>
      </c>
      <c r="I1482" s="37">
        <f>H1482*0.15</f>
        <v>1.2200999999999998E-2</v>
      </c>
      <c r="J1482" s="32">
        <f t="shared" si="357"/>
        <v>0.18098149999999999</v>
      </c>
      <c r="K1482" s="33">
        <f t="shared" ref="K1482:K1545" si="360">J1482*0.15</f>
        <v>2.7147224999999997E-2</v>
      </c>
      <c r="L1482" s="52"/>
      <c r="O1482" s="2">
        <f t="shared" si="339"/>
        <v>3.3891666666666667E-2</v>
      </c>
      <c r="P1482" s="2">
        <f t="shared" si="340"/>
        <v>24.402000000000001</v>
      </c>
      <c r="Q1482" s="7">
        <f t="shared" si="341"/>
        <v>110.51630434782609</v>
      </c>
      <c r="R1482" s="2">
        <v>1.2</v>
      </c>
      <c r="S1482" s="2">
        <f t="shared" si="358"/>
        <v>4.45</v>
      </c>
      <c r="T1482" s="2"/>
      <c r="U1482" s="2"/>
      <c r="Y1482" s="8">
        <f t="shared" si="359"/>
        <v>3.9343804347826086</v>
      </c>
    </row>
    <row r="1483" spans="1:25" x14ac:dyDescent="0.25">
      <c r="A1483" s="34">
        <f t="shared" ref="A1483:B1498" si="361">A1482+1</f>
        <v>1475</v>
      </c>
      <c r="B1483" s="35">
        <f t="shared" si="361"/>
        <v>71</v>
      </c>
      <c r="C1483" s="50" t="s">
        <v>389</v>
      </c>
      <c r="D1483" s="51">
        <v>41</v>
      </c>
      <c r="E1483" s="51">
        <v>1</v>
      </c>
      <c r="F1483" s="36">
        <f t="shared" ref="F1483:I1484" ca="1" si="362">SUM(F1483:F1483)</f>
        <v>0.11095000000000001</v>
      </c>
      <c r="G1483" s="36">
        <f t="shared" ca="1" si="362"/>
        <v>2.1857150000000002E-2</v>
      </c>
      <c r="H1483" s="36">
        <v>4.4940000000000001E-2</v>
      </c>
      <c r="I1483" s="37">
        <f t="shared" ca="1" si="362"/>
        <v>6.7410000000000005E-3</v>
      </c>
      <c r="J1483" s="32">
        <f t="shared" si="357"/>
        <v>9.9991500000000011E-2</v>
      </c>
      <c r="K1483" s="33">
        <f t="shared" si="360"/>
        <v>1.4998725000000001E-2</v>
      </c>
      <c r="L1483" s="52"/>
      <c r="O1483" s="2">
        <f t="shared" ref="O1483:O1546" si="363">H1483/2.4</f>
        <v>1.8725000000000002E-2</v>
      </c>
      <c r="P1483" s="2">
        <f t="shared" ref="P1483:P1546" si="364">O1483*24*30</f>
        <v>13.482000000000001</v>
      </c>
      <c r="Q1483" s="7">
        <f t="shared" ref="Q1483:Q1546" si="365">P1483/0.2208</f>
        <v>61.059782608695656</v>
      </c>
      <c r="R1483" s="2">
        <v>1.2</v>
      </c>
      <c r="S1483" s="2">
        <f t="shared" si="358"/>
        <v>4.45</v>
      </c>
      <c r="T1483" s="2"/>
      <c r="U1483" s="2"/>
      <c r="Y1483" s="8">
        <f t="shared" si="359"/>
        <v>2.1737282608695652</v>
      </c>
    </row>
    <row r="1484" spans="1:25" x14ac:dyDescent="0.25">
      <c r="A1484" s="34">
        <f t="shared" si="361"/>
        <v>1476</v>
      </c>
      <c r="B1484" s="35">
        <f t="shared" si="361"/>
        <v>72</v>
      </c>
      <c r="C1484" s="50" t="s">
        <v>389</v>
      </c>
      <c r="D1484" s="51">
        <v>41</v>
      </c>
      <c r="E1484" s="51">
        <v>2</v>
      </c>
      <c r="F1484" s="36">
        <f t="shared" ca="1" si="362"/>
        <v>0.11095000000000001</v>
      </c>
      <c r="G1484" s="36">
        <f t="shared" ca="1" si="362"/>
        <v>2.1857150000000002E-2</v>
      </c>
      <c r="H1484" s="36">
        <v>4.4940000000000001E-2</v>
      </c>
      <c r="I1484" s="37">
        <f t="shared" ca="1" si="362"/>
        <v>6.7410000000000005E-3</v>
      </c>
      <c r="J1484" s="32">
        <f t="shared" si="357"/>
        <v>9.9991500000000011E-2</v>
      </c>
      <c r="K1484" s="33">
        <f t="shared" si="360"/>
        <v>1.4998725000000001E-2</v>
      </c>
      <c r="L1484" s="52"/>
      <c r="O1484" s="2">
        <f t="shared" si="363"/>
        <v>1.8725000000000002E-2</v>
      </c>
      <c r="P1484" s="2">
        <f t="shared" si="364"/>
        <v>13.482000000000001</v>
      </c>
      <c r="Q1484" s="7">
        <f t="shared" si="365"/>
        <v>61.059782608695656</v>
      </c>
      <c r="R1484" s="2">
        <v>1.2</v>
      </c>
      <c r="S1484" s="2">
        <f t="shared" si="358"/>
        <v>4.45</v>
      </c>
      <c r="T1484" s="2"/>
      <c r="U1484" s="2"/>
      <c r="Y1484" s="8">
        <f t="shared" si="359"/>
        <v>2.1737282608695652</v>
      </c>
    </row>
    <row r="1485" spans="1:25" x14ac:dyDescent="0.25">
      <c r="A1485" s="34">
        <f t="shared" si="361"/>
        <v>1477</v>
      </c>
      <c r="B1485" s="35">
        <f t="shared" si="361"/>
        <v>73</v>
      </c>
      <c r="C1485" s="50" t="s">
        <v>389</v>
      </c>
      <c r="D1485" s="51">
        <v>44</v>
      </c>
      <c r="E1485" s="51"/>
      <c r="F1485" s="36">
        <v>9.1340000000000005E-2</v>
      </c>
      <c r="G1485" s="36">
        <f t="shared" ref="G1485:G1494" si="366">F1485*0.197</f>
        <v>1.7993980000000003E-2</v>
      </c>
      <c r="H1485" s="36">
        <v>2.5020000000000001E-2</v>
      </c>
      <c r="I1485" s="37">
        <f t="shared" ref="I1485:I1494" si="367">H1485*0.15</f>
        <v>3.7529999999999998E-3</v>
      </c>
      <c r="J1485" s="32">
        <f t="shared" si="357"/>
        <v>5.5669500000000004E-2</v>
      </c>
      <c r="K1485" s="33">
        <f t="shared" si="360"/>
        <v>8.3504249999999999E-3</v>
      </c>
      <c r="L1485" s="24" t="s">
        <v>16</v>
      </c>
      <c r="O1485" s="2">
        <f t="shared" si="363"/>
        <v>1.0425E-2</v>
      </c>
      <c r="P1485" s="2">
        <f t="shared" si="364"/>
        <v>7.5059999999999993</v>
      </c>
      <c r="Q1485" s="7">
        <f t="shared" si="365"/>
        <v>33.994565217391305</v>
      </c>
      <c r="R1485" s="2">
        <v>1.2</v>
      </c>
      <c r="S1485" s="2">
        <f t="shared" si="358"/>
        <v>4.45</v>
      </c>
      <c r="T1485" s="2"/>
      <c r="U1485" s="2"/>
      <c r="Y1485" s="8">
        <f t="shared" si="359"/>
        <v>1.2102065217391305</v>
      </c>
    </row>
    <row r="1486" spans="1:25" x14ac:dyDescent="0.25">
      <c r="A1486" s="34">
        <f t="shared" si="361"/>
        <v>1478</v>
      </c>
      <c r="B1486" s="35">
        <f t="shared" si="361"/>
        <v>74</v>
      </c>
      <c r="C1486" s="50" t="s">
        <v>392</v>
      </c>
      <c r="D1486" s="51">
        <v>183</v>
      </c>
      <c r="E1486" s="51">
        <v>1</v>
      </c>
      <c r="F1486" s="36">
        <v>7.8969999999999999E-2</v>
      </c>
      <c r="G1486" s="36">
        <f t="shared" si="366"/>
        <v>1.5557090000000001E-2</v>
      </c>
      <c r="H1486" s="36">
        <v>4.122E-2</v>
      </c>
      <c r="I1486" s="37">
        <f t="shared" si="367"/>
        <v>6.1830000000000001E-3</v>
      </c>
      <c r="J1486" s="32">
        <f t="shared" si="357"/>
        <v>9.1714500000000004E-2</v>
      </c>
      <c r="K1486" s="33">
        <f t="shared" si="360"/>
        <v>1.3757175E-2</v>
      </c>
      <c r="L1486" s="52"/>
      <c r="O1486" s="2">
        <f t="shared" si="363"/>
        <v>1.7174999999999999E-2</v>
      </c>
      <c r="P1486" s="2">
        <f t="shared" si="364"/>
        <v>12.366</v>
      </c>
      <c r="Q1486" s="7">
        <f t="shared" si="365"/>
        <v>56.005434782608695</v>
      </c>
      <c r="R1486" s="2">
        <v>1.2</v>
      </c>
      <c r="S1486" s="2">
        <f t="shared" si="358"/>
        <v>4.45</v>
      </c>
      <c r="T1486" s="2"/>
      <c r="U1486" s="2"/>
      <c r="Y1486" s="8">
        <f t="shared" si="359"/>
        <v>1.9937934782608695</v>
      </c>
    </row>
    <row r="1487" spans="1:25" x14ac:dyDescent="0.25">
      <c r="A1487" s="34">
        <f t="shared" si="361"/>
        <v>1479</v>
      </c>
      <c r="B1487" s="35">
        <f t="shared" si="361"/>
        <v>75</v>
      </c>
      <c r="C1487" s="50" t="s">
        <v>392</v>
      </c>
      <c r="D1487" s="51">
        <v>183</v>
      </c>
      <c r="E1487" s="51">
        <v>2</v>
      </c>
      <c r="F1487" s="36">
        <v>7.8969999999999999E-2</v>
      </c>
      <c r="G1487" s="36">
        <f t="shared" si="366"/>
        <v>1.5557090000000001E-2</v>
      </c>
      <c r="H1487" s="36">
        <v>4.122E-2</v>
      </c>
      <c r="I1487" s="37">
        <f t="shared" si="367"/>
        <v>6.1830000000000001E-3</v>
      </c>
      <c r="J1487" s="32">
        <f t="shared" si="357"/>
        <v>9.1714500000000004E-2</v>
      </c>
      <c r="K1487" s="33">
        <f t="shared" si="360"/>
        <v>1.3757175E-2</v>
      </c>
      <c r="L1487" s="52"/>
      <c r="O1487" s="2">
        <f t="shared" si="363"/>
        <v>1.7174999999999999E-2</v>
      </c>
      <c r="P1487" s="2">
        <f t="shared" si="364"/>
        <v>12.366</v>
      </c>
      <c r="Q1487" s="7">
        <f t="shared" si="365"/>
        <v>56.005434782608695</v>
      </c>
      <c r="R1487" s="2">
        <v>1.2</v>
      </c>
      <c r="S1487" s="2">
        <f t="shared" si="358"/>
        <v>4.45</v>
      </c>
      <c r="T1487" s="2"/>
      <c r="U1487" s="2"/>
      <c r="Y1487" s="8">
        <f t="shared" si="359"/>
        <v>1.9937934782608695</v>
      </c>
    </row>
    <row r="1488" spans="1:25" x14ac:dyDescent="0.25">
      <c r="A1488" s="34">
        <f t="shared" si="361"/>
        <v>1480</v>
      </c>
      <c r="B1488" s="35">
        <f t="shared" si="361"/>
        <v>76</v>
      </c>
      <c r="C1488" s="50" t="s">
        <v>392</v>
      </c>
      <c r="D1488" s="51">
        <v>185</v>
      </c>
      <c r="E1488" s="51">
        <v>1</v>
      </c>
      <c r="F1488" s="36">
        <v>9.1149999999999995E-2</v>
      </c>
      <c r="G1488" s="36">
        <f t="shared" si="366"/>
        <v>1.7956549999999998E-2</v>
      </c>
      <c r="H1488" s="36">
        <v>4.8860000000000001E-2</v>
      </c>
      <c r="I1488" s="37">
        <f t="shared" si="367"/>
        <v>7.3289999999999996E-3</v>
      </c>
      <c r="J1488" s="32">
        <f t="shared" si="357"/>
        <v>0.10871350000000002</v>
      </c>
      <c r="K1488" s="33">
        <f t="shared" si="360"/>
        <v>1.6307025000000003E-2</v>
      </c>
      <c r="L1488" s="52"/>
      <c r="O1488" s="2">
        <f t="shared" si="363"/>
        <v>2.0358333333333336E-2</v>
      </c>
      <c r="P1488" s="2">
        <f t="shared" si="364"/>
        <v>14.658000000000001</v>
      </c>
      <c r="Q1488" s="7">
        <f t="shared" si="365"/>
        <v>66.385869565217405</v>
      </c>
      <c r="R1488" s="2">
        <v>1.2</v>
      </c>
      <c r="S1488" s="2">
        <f t="shared" si="358"/>
        <v>4.45</v>
      </c>
      <c r="T1488" s="2"/>
      <c r="U1488" s="2"/>
      <c r="Y1488" s="8">
        <f t="shared" si="359"/>
        <v>2.3633369565217395</v>
      </c>
    </row>
    <row r="1489" spans="1:25" x14ac:dyDescent="0.25">
      <c r="A1489" s="34">
        <f t="shared" si="361"/>
        <v>1481</v>
      </c>
      <c r="B1489" s="35">
        <f t="shared" si="361"/>
        <v>77</v>
      </c>
      <c r="C1489" s="50" t="s">
        <v>392</v>
      </c>
      <c r="D1489" s="51">
        <v>185</v>
      </c>
      <c r="E1489" s="51">
        <v>2</v>
      </c>
      <c r="F1489" s="36">
        <v>0.10700999999999999</v>
      </c>
      <c r="G1489" s="36">
        <f t="shared" si="366"/>
        <v>2.1080970000000001E-2</v>
      </c>
      <c r="H1489" s="36">
        <v>5.7349999999999998E-2</v>
      </c>
      <c r="I1489" s="37">
        <f t="shared" si="367"/>
        <v>8.602499999999999E-3</v>
      </c>
      <c r="J1489" s="32">
        <f t="shared" si="357"/>
        <v>0.12760374999999999</v>
      </c>
      <c r="K1489" s="33">
        <f t="shared" si="360"/>
        <v>1.9140562499999996E-2</v>
      </c>
      <c r="L1489" s="52"/>
      <c r="O1489" s="2">
        <f t="shared" si="363"/>
        <v>2.3895833333333335E-2</v>
      </c>
      <c r="P1489" s="2">
        <f t="shared" si="364"/>
        <v>17.205000000000002</v>
      </c>
      <c r="Q1489" s="7">
        <f t="shared" si="365"/>
        <v>77.921195652173921</v>
      </c>
      <c r="R1489" s="2">
        <v>1.2</v>
      </c>
      <c r="S1489" s="2">
        <f t="shared" si="358"/>
        <v>4.45</v>
      </c>
      <c r="T1489" s="2"/>
      <c r="U1489" s="2"/>
      <c r="Y1489" s="8">
        <f t="shared" si="359"/>
        <v>2.7739945652173912</v>
      </c>
    </row>
    <row r="1490" spans="1:25" x14ac:dyDescent="0.25">
      <c r="A1490" s="34">
        <f t="shared" si="361"/>
        <v>1482</v>
      </c>
      <c r="B1490" s="35">
        <f t="shared" si="361"/>
        <v>78</v>
      </c>
      <c r="C1490" s="50" t="s">
        <v>392</v>
      </c>
      <c r="D1490" s="51">
        <v>186</v>
      </c>
      <c r="E1490" s="51"/>
      <c r="F1490" s="36">
        <v>6.9610000000000005E-2</v>
      </c>
      <c r="G1490" s="36">
        <f t="shared" si="366"/>
        <v>1.3713170000000002E-2</v>
      </c>
      <c r="H1490" s="36">
        <v>1.3979999999999999E-2</v>
      </c>
      <c r="I1490" s="37">
        <f t="shared" si="367"/>
        <v>2.0969999999999999E-3</v>
      </c>
      <c r="J1490" s="32">
        <f t="shared" si="357"/>
        <v>3.1105500000000005E-2</v>
      </c>
      <c r="K1490" s="33">
        <f t="shared" si="360"/>
        <v>4.6658250000000002E-3</v>
      </c>
      <c r="L1490" s="52"/>
      <c r="O1490" s="2">
        <f t="shared" si="363"/>
        <v>5.8250000000000003E-3</v>
      </c>
      <c r="P1490" s="2">
        <f t="shared" si="364"/>
        <v>4.194</v>
      </c>
      <c r="Q1490" s="7">
        <f t="shared" si="365"/>
        <v>18.994565217391305</v>
      </c>
      <c r="R1490" s="2">
        <v>1.2</v>
      </c>
      <c r="S1490" s="2">
        <f t="shared" si="358"/>
        <v>4.45</v>
      </c>
      <c r="T1490" s="2"/>
      <c r="U1490" s="2"/>
      <c r="Y1490" s="8">
        <f t="shared" si="359"/>
        <v>0.67620652173913054</v>
      </c>
    </row>
    <row r="1491" spans="1:25" x14ac:dyDescent="0.25">
      <c r="A1491" s="34">
        <f t="shared" si="361"/>
        <v>1483</v>
      </c>
      <c r="B1491" s="35">
        <f t="shared" si="361"/>
        <v>79</v>
      </c>
      <c r="C1491" s="50" t="s">
        <v>392</v>
      </c>
      <c r="D1491" s="51" t="s">
        <v>393</v>
      </c>
      <c r="E1491" s="51"/>
      <c r="F1491" s="36">
        <v>7.3499999999999998E-3</v>
      </c>
      <c r="G1491" s="36">
        <f t="shared" si="366"/>
        <v>1.4479499999999999E-3</v>
      </c>
      <c r="H1491" s="36">
        <v>2.2100000000000002E-3</v>
      </c>
      <c r="I1491" s="37">
        <f t="shared" si="367"/>
        <v>3.3150000000000003E-4</v>
      </c>
      <c r="J1491" s="32">
        <f t="shared" si="357"/>
        <v>4.9172500000000006E-3</v>
      </c>
      <c r="K1491" s="33">
        <f t="shared" si="360"/>
        <v>7.3758750000000011E-4</v>
      </c>
      <c r="L1491" s="24" t="s">
        <v>16</v>
      </c>
      <c r="O1491" s="2">
        <f t="shared" si="363"/>
        <v>9.208333333333334E-4</v>
      </c>
      <c r="P1491" s="2">
        <f t="shared" si="364"/>
        <v>0.66300000000000003</v>
      </c>
      <c r="Q1491" s="7">
        <f t="shared" si="365"/>
        <v>3.0027173913043481</v>
      </c>
      <c r="R1491" s="2">
        <v>1.2</v>
      </c>
      <c r="S1491" s="2">
        <f t="shared" si="358"/>
        <v>4.45</v>
      </c>
      <c r="T1491" s="2"/>
      <c r="U1491" s="2"/>
      <c r="Y1491" s="8">
        <f t="shared" si="359"/>
        <v>0.10689673913043479</v>
      </c>
    </row>
    <row r="1492" spans="1:25" x14ac:dyDescent="0.25">
      <c r="A1492" s="34">
        <f t="shared" si="361"/>
        <v>1484</v>
      </c>
      <c r="B1492" s="35">
        <f t="shared" si="361"/>
        <v>80</v>
      </c>
      <c r="C1492" s="50" t="s">
        <v>392</v>
      </c>
      <c r="D1492" s="51">
        <v>189</v>
      </c>
      <c r="E1492" s="51">
        <v>1</v>
      </c>
      <c r="F1492" s="36">
        <v>0.14671000000000001</v>
      </c>
      <c r="G1492" s="36">
        <f t="shared" si="366"/>
        <v>2.8901870000000003E-2</v>
      </c>
      <c r="H1492" s="36">
        <v>5.4100000000000002E-2</v>
      </c>
      <c r="I1492" s="37">
        <f t="shared" si="367"/>
        <v>8.1150000000000007E-3</v>
      </c>
      <c r="J1492" s="32">
        <f t="shared" si="357"/>
        <v>0.12037250000000001</v>
      </c>
      <c r="K1492" s="33">
        <f t="shared" si="360"/>
        <v>1.8055874999999999E-2</v>
      </c>
      <c r="L1492" s="52"/>
      <c r="O1492" s="2">
        <f t="shared" si="363"/>
        <v>2.2541666666666668E-2</v>
      </c>
      <c r="P1492" s="2">
        <f t="shared" si="364"/>
        <v>16.23</v>
      </c>
      <c r="Q1492" s="7">
        <f t="shared" si="365"/>
        <v>73.505434782608702</v>
      </c>
      <c r="R1492" s="2">
        <v>1.2</v>
      </c>
      <c r="S1492" s="2">
        <f t="shared" si="358"/>
        <v>4.45</v>
      </c>
      <c r="T1492" s="2"/>
      <c r="U1492" s="2"/>
      <c r="Y1492" s="8">
        <f t="shared" si="359"/>
        <v>2.6167934782608699</v>
      </c>
    </row>
    <row r="1493" spans="1:25" x14ac:dyDescent="0.25">
      <c r="A1493" s="34">
        <f t="shared" si="361"/>
        <v>1485</v>
      </c>
      <c r="B1493" s="35">
        <f t="shared" si="361"/>
        <v>81</v>
      </c>
      <c r="C1493" s="50" t="s">
        <v>392</v>
      </c>
      <c r="D1493" s="51">
        <v>189</v>
      </c>
      <c r="E1493" s="51">
        <v>2</v>
      </c>
      <c r="F1493" s="36">
        <v>0.14671000000000001</v>
      </c>
      <c r="G1493" s="36">
        <f t="shared" si="366"/>
        <v>2.8901870000000003E-2</v>
      </c>
      <c r="H1493" s="36">
        <v>5.4100000000000002E-2</v>
      </c>
      <c r="I1493" s="37">
        <f t="shared" si="367"/>
        <v>8.1150000000000007E-3</v>
      </c>
      <c r="J1493" s="32">
        <f t="shared" si="357"/>
        <v>0.12037250000000001</v>
      </c>
      <c r="K1493" s="33">
        <f t="shared" si="360"/>
        <v>1.8055874999999999E-2</v>
      </c>
      <c r="L1493" s="52"/>
      <c r="O1493" s="2">
        <f t="shared" si="363"/>
        <v>2.2541666666666668E-2</v>
      </c>
      <c r="P1493" s="2">
        <f t="shared" si="364"/>
        <v>16.23</v>
      </c>
      <c r="Q1493" s="7">
        <f t="shared" si="365"/>
        <v>73.505434782608702</v>
      </c>
      <c r="R1493" s="2">
        <v>1.2</v>
      </c>
      <c r="S1493" s="2">
        <f t="shared" si="358"/>
        <v>4.45</v>
      </c>
      <c r="T1493" s="2"/>
      <c r="U1493" s="2"/>
      <c r="Y1493" s="8">
        <f t="shared" si="359"/>
        <v>2.6167934782608699</v>
      </c>
    </row>
    <row r="1494" spans="1:25" x14ac:dyDescent="0.25">
      <c r="A1494" s="34">
        <f t="shared" si="361"/>
        <v>1486</v>
      </c>
      <c r="B1494" s="35">
        <f t="shared" si="361"/>
        <v>82</v>
      </c>
      <c r="C1494" s="50" t="s">
        <v>392</v>
      </c>
      <c r="D1494" s="51">
        <v>193</v>
      </c>
      <c r="E1494" s="51"/>
      <c r="F1494" s="36">
        <v>0.10433000000000001</v>
      </c>
      <c r="G1494" s="36">
        <f t="shared" si="366"/>
        <v>2.0553010000000003E-2</v>
      </c>
      <c r="H1494" s="36">
        <v>3.9039999999999998E-2</v>
      </c>
      <c r="I1494" s="37">
        <f t="shared" si="367"/>
        <v>5.8559999999999992E-3</v>
      </c>
      <c r="J1494" s="32">
        <f t="shared" si="357"/>
        <v>8.6863999999999997E-2</v>
      </c>
      <c r="K1494" s="33">
        <f t="shared" si="360"/>
        <v>1.3029599999999999E-2</v>
      </c>
      <c r="L1494" s="52"/>
      <c r="O1494" s="2">
        <f t="shared" si="363"/>
        <v>1.6266666666666665E-2</v>
      </c>
      <c r="P1494" s="2">
        <f t="shared" si="364"/>
        <v>11.712</v>
      </c>
      <c r="Q1494" s="7">
        <f t="shared" si="365"/>
        <v>53.043478260869563</v>
      </c>
      <c r="R1494" s="2">
        <v>1.2</v>
      </c>
      <c r="S1494" s="2">
        <f t="shared" si="358"/>
        <v>4.45</v>
      </c>
      <c r="T1494" s="2"/>
      <c r="U1494" s="2"/>
      <c r="Y1494" s="8">
        <f t="shared" si="359"/>
        <v>1.8883478260869566</v>
      </c>
    </row>
    <row r="1495" spans="1:25" x14ac:dyDescent="0.25">
      <c r="A1495" s="34">
        <f t="shared" si="361"/>
        <v>1487</v>
      </c>
      <c r="B1495" s="35">
        <f t="shared" si="361"/>
        <v>83</v>
      </c>
      <c r="C1495" s="50" t="s">
        <v>392</v>
      </c>
      <c r="D1495" s="51">
        <v>194</v>
      </c>
      <c r="E1495" s="51"/>
      <c r="F1495" s="36">
        <f ca="1">SUM(F1495:F1495)</f>
        <v>0.43715999999999999</v>
      </c>
      <c r="G1495" s="36">
        <f ca="1">SUM(G1495:G1495)</f>
        <v>8.6120520000000006E-2</v>
      </c>
      <c r="H1495" s="36">
        <v>0.12438</v>
      </c>
      <c r="I1495" s="37">
        <f ca="1">SUM(I1495:I1495)</f>
        <v>1.8657E-2</v>
      </c>
      <c r="J1495" s="32">
        <f t="shared" si="357"/>
        <v>0.23010300000000003</v>
      </c>
      <c r="K1495" s="33">
        <f t="shared" si="360"/>
        <v>3.4515450000000003E-2</v>
      </c>
      <c r="L1495" s="52"/>
      <c r="O1495" s="2">
        <f t="shared" si="363"/>
        <v>5.1825000000000003E-2</v>
      </c>
      <c r="P1495" s="2">
        <f t="shared" si="364"/>
        <v>37.314</v>
      </c>
      <c r="Q1495" s="7">
        <f t="shared" si="365"/>
        <v>168.99456521739131</v>
      </c>
      <c r="R1495" s="2">
        <v>1.2</v>
      </c>
      <c r="S1495" s="2">
        <f t="shared" si="358"/>
        <v>3.7</v>
      </c>
      <c r="T1495" s="2"/>
      <c r="U1495" s="2"/>
      <c r="Y1495" s="8">
        <f t="shared" si="359"/>
        <v>5.0022391304347833</v>
      </c>
    </row>
    <row r="1496" spans="1:25" x14ac:dyDescent="0.25">
      <c r="A1496" s="34">
        <f t="shared" si="361"/>
        <v>1488</v>
      </c>
      <c r="B1496" s="35">
        <f t="shared" si="361"/>
        <v>84</v>
      </c>
      <c r="C1496" s="50" t="s">
        <v>392</v>
      </c>
      <c r="D1496" s="51">
        <v>195</v>
      </c>
      <c r="E1496" s="51"/>
      <c r="F1496" s="36">
        <v>3.4590000000000003E-2</v>
      </c>
      <c r="G1496" s="36">
        <f>F1496*0.197</f>
        <v>6.814230000000001E-3</v>
      </c>
      <c r="H1496" s="36">
        <v>4.4200000000000003E-3</v>
      </c>
      <c r="I1496" s="37">
        <f>H1496*0.15</f>
        <v>6.6300000000000007E-4</v>
      </c>
      <c r="J1496" s="32">
        <f t="shared" si="357"/>
        <v>9.8345000000000012E-3</v>
      </c>
      <c r="K1496" s="33">
        <f t="shared" si="360"/>
        <v>1.4751750000000002E-3</v>
      </c>
      <c r="L1496" s="24" t="s">
        <v>16</v>
      </c>
      <c r="O1496" s="2">
        <f t="shared" si="363"/>
        <v>1.8416666666666668E-3</v>
      </c>
      <c r="P1496" s="2">
        <f t="shared" si="364"/>
        <v>1.3260000000000001</v>
      </c>
      <c r="Q1496" s="7">
        <f t="shared" si="365"/>
        <v>6.0054347826086962</v>
      </c>
      <c r="R1496" s="2">
        <v>1.2</v>
      </c>
      <c r="S1496" s="2">
        <f t="shared" si="358"/>
        <v>4.45</v>
      </c>
      <c r="T1496" s="2"/>
      <c r="U1496" s="2"/>
      <c r="Y1496" s="8">
        <f t="shared" si="359"/>
        <v>0.21379347826086958</v>
      </c>
    </row>
    <row r="1497" spans="1:25" x14ac:dyDescent="0.25">
      <c r="A1497" s="34">
        <f t="shared" si="361"/>
        <v>1489</v>
      </c>
      <c r="B1497" s="35">
        <f t="shared" si="361"/>
        <v>85</v>
      </c>
      <c r="C1497" s="50" t="s">
        <v>392</v>
      </c>
      <c r="D1497" s="51">
        <v>197</v>
      </c>
      <c r="E1497" s="51">
        <v>1</v>
      </c>
      <c r="F1497" s="36">
        <f t="shared" ref="F1497:I1499" ca="1" si="368">SUM(F1497:F1497)</f>
        <v>0.12640999999999999</v>
      </c>
      <c r="G1497" s="36">
        <f t="shared" ca="1" si="368"/>
        <v>2.4902770000000001E-2</v>
      </c>
      <c r="H1497" s="36">
        <v>7.1389999999999995E-2</v>
      </c>
      <c r="I1497" s="37">
        <f t="shared" ca="1" si="368"/>
        <v>1.0708499999999999E-2</v>
      </c>
      <c r="J1497" s="32">
        <f t="shared" si="357"/>
        <v>0.15884275</v>
      </c>
      <c r="K1497" s="33">
        <f t="shared" si="360"/>
        <v>2.3826412500000001E-2</v>
      </c>
      <c r="L1497" s="24" t="s">
        <v>16</v>
      </c>
      <c r="O1497" s="2">
        <f t="shared" si="363"/>
        <v>2.9745833333333332E-2</v>
      </c>
      <c r="P1497" s="2">
        <f t="shared" si="364"/>
        <v>21.416999999999998</v>
      </c>
      <c r="Q1497" s="7">
        <f t="shared" si="365"/>
        <v>96.997282608695642</v>
      </c>
      <c r="R1497" s="2">
        <v>1.2</v>
      </c>
      <c r="S1497" s="2">
        <f t="shared" si="358"/>
        <v>4.45</v>
      </c>
      <c r="T1497" s="2"/>
      <c r="U1497" s="2"/>
      <c r="Y1497" s="8">
        <f t="shared" si="359"/>
        <v>3.4531032608695655</v>
      </c>
    </row>
    <row r="1498" spans="1:25" x14ac:dyDescent="0.25">
      <c r="A1498" s="34">
        <f t="shared" si="361"/>
        <v>1490</v>
      </c>
      <c r="B1498" s="35">
        <f t="shared" si="361"/>
        <v>86</v>
      </c>
      <c r="C1498" s="50" t="s">
        <v>392</v>
      </c>
      <c r="D1498" s="51">
        <v>197</v>
      </c>
      <c r="E1498" s="51">
        <v>2</v>
      </c>
      <c r="F1498" s="36">
        <f t="shared" ca="1" si="368"/>
        <v>0.12640999999999999</v>
      </c>
      <c r="G1498" s="36">
        <f t="shared" ca="1" si="368"/>
        <v>2.4902770000000001E-2</v>
      </c>
      <c r="H1498" s="36">
        <v>7.1389999999999995E-2</v>
      </c>
      <c r="I1498" s="37">
        <f t="shared" ca="1" si="368"/>
        <v>1.0708499999999999E-2</v>
      </c>
      <c r="J1498" s="32">
        <f t="shared" si="357"/>
        <v>0.15884275</v>
      </c>
      <c r="K1498" s="33">
        <f t="shared" si="360"/>
        <v>2.3826412500000001E-2</v>
      </c>
      <c r="L1498" s="24" t="s">
        <v>16</v>
      </c>
      <c r="O1498" s="2">
        <f t="shared" si="363"/>
        <v>2.9745833333333332E-2</v>
      </c>
      <c r="P1498" s="2">
        <f t="shared" si="364"/>
        <v>21.416999999999998</v>
      </c>
      <c r="Q1498" s="7">
        <f t="shared" si="365"/>
        <v>96.997282608695642</v>
      </c>
      <c r="R1498" s="2">
        <v>1.2</v>
      </c>
      <c r="S1498" s="2">
        <f t="shared" si="358"/>
        <v>4.45</v>
      </c>
      <c r="T1498" s="2"/>
      <c r="U1498" s="2"/>
      <c r="Y1498" s="8">
        <f t="shared" si="359"/>
        <v>3.4531032608695655</v>
      </c>
    </row>
    <row r="1499" spans="1:25" x14ac:dyDescent="0.25">
      <c r="A1499" s="34">
        <f t="shared" ref="A1499:B1514" si="369">A1498+1</f>
        <v>1491</v>
      </c>
      <c r="B1499" s="35">
        <f t="shared" si="369"/>
        <v>87</v>
      </c>
      <c r="C1499" s="50" t="s">
        <v>392</v>
      </c>
      <c r="D1499" s="51">
        <v>214</v>
      </c>
      <c r="E1499" s="51"/>
      <c r="F1499" s="36">
        <f t="shared" ca="1" si="368"/>
        <v>0.18091000000000002</v>
      </c>
      <c r="G1499" s="36">
        <f t="shared" ca="1" si="368"/>
        <v>3.5639270000000001E-2</v>
      </c>
      <c r="H1499" s="36">
        <v>3.024E-2</v>
      </c>
      <c r="I1499" s="37">
        <f t="shared" ca="1" si="368"/>
        <v>4.53645E-3</v>
      </c>
      <c r="J1499" s="32">
        <f t="shared" si="357"/>
        <v>6.7283999999999997E-2</v>
      </c>
      <c r="K1499" s="33">
        <f t="shared" si="360"/>
        <v>1.0092599999999998E-2</v>
      </c>
      <c r="L1499" s="52"/>
      <c r="O1499" s="2">
        <f t="shared" si="363"/>
        <v>1.26E-2</v>
      </c>
      <c r="P1499" s="2">
        <f t="shared" si="364"/>
        <v>9.0719999999999992</v>
      </c>
      <c r="Q1499" s="7">
        <f t="shared" si="365"/>
        <v>41.086956521739125</v>
      </c>
      <c r="R1499" s="2">
        <v>1.2</v>
      </c>
      <c r="S1499" s="2">
        <f t="shared" si="358"/>
        <v>4.45</v>
      </c>
      <c r="T1499" s="2"/>
      <c r="U1499" s="2"/>
      <c r="Y1499" s="8">
        <f t="shared" si="359"/>
        <v>1.462695652173913</v>
      </c>
    </row>
    <row r="1500" spans="1:25" x14ac:dyDescent="0.25">
      <c r="A1500" s="34">
        <f t="shared" si="369"/>
        <v>1492</v>
      </c>
      <c r="B1500" s="35">
        <f t="shared" si="369"/>
        <v>88</v>
      </c>
      <c r="C1500" s="50" t="s">
        <v>392</v>
      </c>
      <c r="D1500" s="51">
        <v>217</v>
      </c>
      <c r="E1500" s="51">
        <v>1</v>
      </c>
      <c r="F1500" s="36">
        <v>0.32079999999999997</v>
      </c>
      <c r="G1500" s="36">
        <f t="shared" ref="G1500:G1530" si="370">F1500*0.197</f>
        <v>6.3197599999999993E-2</v>
      </c>
      <c r="H1500" s="36">
        <v>9.955E-2</v>
      </c>
      <c r="I1500" s="37">
        <f t="shared" ref="I1500:I1530" si="371">H1500*0.15</f>
        <v>1.49325E-2</v>
      </c>
      <c r="J1500" s="32">
        <f t="shared" si="357"/>
        <v>0.22149875000000005</v>
      </c>
      <c r="K1500" s="33">
        <f t="shared" si="360"/>
        <v>3.3224812500000006E-2</v>
      </c>
      <c r="L1500" s="52"/>
      <c r="O1500" s="2">
        <f t="shared" si="363"/>
        <v>4.1479166666666671E-2</v>
      </c>
      <c r="P1500" s="2">
        <f t="shared" si="364"/>
        <v>29.865000000000002</v>
      </c>
      <c r="Q1500" s="7">
        <f t="shared" si="365"/>
        <v>135.25815217391306</v>
      </c>
      <c r="R1500" s="2">
        <v>1.2</v>
      </c>
      <c r="S1500" s="2">
        <f t="shared" si="358"/>
        <v>4.45</v>
      </c>
      <c r="T1500" s="2"/>
      <c r="U1500" s="2"/>
      <c r="Y1500" s="8">
        <f t="shared" si="359"/>
        <v>4.8151902173913053</v>
      </c>
    </row>
    <row r="1501" spans="1:25" x14ac:dyDescent="0.25">
      <c r="A1501" s="34">
        <f t="shared" si="369"/>
        <v>1493</v>
      </c>
      <c r="B1501" s="35">
        <f t="shared" si="369"/>
        <v>89</v>
      </c>
      <c r="C1501" s="50" t="s">
        <v>392</v>
      </c>
      <c r="D1501" s="51">
        <v>217</v>
      </c>
      <c r="E1501" s="51">
        <v>2</v>
      </c>
      <c r="F1501" s="36">
        <v>0.14413000000000001</v>
      </c>
      <c r="G1501" s="36">
        <f t="shared" si="370"/>
        <v>2.8393610000000003E-2</v>
      </c>
      <c r="H1501" s="36">
        <v>4.4729999999999999E-2</v>
      </c>
      <c r="I1501" s="37">
        <f t="shared" si="371"/>
        <v>6.7094999999999993E-3</v>
      </c>
      <c r="J1501" s="32">
        <f t="shared" si="357"/>
        <v>9.9524249999999995E-2</v>
      </c>
      <c r="K1501" s="33">
        <f t="shared" si="360"/>
        <v>1.4928637499999998E-2</v>
      </c>
      <c r="L1501" s="52" t="s">
        <v>394</v>
      </c>
      <c r="O1501" s="2">
        <f t="shared" si="363"/>
        <v>1.8637500000000001E-2</v>
      </c>
      <c r="P1501" s="2">
        <f t="shared" si="364"/>
        <v>13.419</v>
      </c>
      <c r="Q1501" s="7">
        <f t="shared" si="365"/>
        <v>60.774456521739133</v>
      </c>
      <c r="R1501" s="2">
        <v>1.2</v>
      </c>
      <c r="S1501" s="2">
        <f t="shared" si="358"/>
        <v>4.45</v>
      </c>
      <c r="T1501" s="2"/>
      <c r="U1501" s="2"/>
      <c r="Y1501" s="8">
        <f t="shared" si="359"/>
        <v>2.1635706521739131</v>
      </c>
    </row>
    <row r="1502" spans="1:25" x14ac:dyDescent="0.25">
      <c r="A1502" s="34">
        <f t="shared" si="369"/>
        <v>1494</v>
      </c>
      <c r="B1502" s="35">
        <f t="shared" si="369"/>
        <v>90</v>
      </c>
      <c r="C1502" s="50" t="s">
        <v>392</v>
      </c>
      <c r="D1502" s="51">
        <v>219</v>
      </c>
      <c r="E1502" s="51"/>
      <c r="F1502" s="36">
        <v>0.11615</v>
      </c>
      <c r="G1502" s="36">
        <f t="shared" si="370"/>
        <v>2.288155E-2</v>
      </c>
      <c r="H1502" s="36">
        <v>2.886E-2</v>
      </c>
      <c r="I1502" s="37">
        <f t="shared" si="371"/>
        <v>4.3289999999999995E-3</v>
      </c>
      <c r="J1502" s="32">
        <f t="shared" si="357"/>
        <v>6.4213500000000007E-2</v>
      </c>
      <c r="K1502" s="33">
        <f t="shared" si="360"/>
        <v>9.6320250000000007E-3</v>
      </c>
      <c r="L1502" s="52" t="s">
        <v>394</v>
      </c>
      <c r="O1502" s="2">
        <f t="shared" si="363"/>
        <v>1.2025000000000001E-2</v>
      </c>
      <c r="P1502" s="2">
        <f t="shared" si="364"/>
        <v>8.6580000000000013</v>
      </c>
      <c r="Q1502" s="7">
        <f t="shared" si="365"/>
        <v>39.21195652173914</v>
      </c>
      <c r="R1502" s="2">
        <v>1.2</v>
      </c>
      <c r="S1502" s="2">
        <f t="shared" si="358"/>
        <v>4.45</v>
      </c>
      <c r="T1502" s="2"/>
      <c r="U1502" s="2"/>
      <c r="Y1502" s="8">
        <f t="shared" si="359"/>
        <v>1.3959456521739131</v>
      </c>
    </row>
    <row r="1503" spans="1:25" x14ac:dyDescent="0.25">
      <c r="A1503" s="34">
        <f t="shared" si="369"/>
        <v>1495</v>
      </c>
      <c r="B1503" s="35">
        <f t="shared" si="369"/>
        <v>91</v>
      </c>
      <c r="C1503" s="50" t="s">
        <v>392</v>
      </c>
      <c r="D1503" s="51">
        <v>221</v>
      </c>
      <c r="E1503" s="51"/>
      <c r="F1503" s="36">
        <v>0.13167000000000001</v>
      </c>
      <c r="G1503" s="36">
        <f t="shared" si="370"/>
        <v>2.5938990000000002E-2</v>
      </c>
      <c r="H1503" s="36">
        <v>6.08E-2</v>
      </c>
      <c r="I1503" s="37">
        <f t="shared" si="371"/>
        <v>9.1199999999999996E-3</v>
      </c>
      <c r="J1503" s="32">
        <f t="shared" si="357"/>
        <v>0.13527999999999998</v>
      </c>
      <c r="K1503" s="33">
        <f t="shared" si="360"/>
        <v>2.0291999999999998E-2</v>
      </c>
      <c r="L1503" s="52" t="s">
        <v>394</v>
      </c>
      <c r="O1503" s="2">
        <f t="shared" si="363"/>
        <v>2.5333333333333333E-2</v>
      </c>
      <c r="P1503" s="2">
        <f t="shared" si="364"/>
        <v>18.239999999999998</v>
      </c>
      <c r="Q1503" s="7">
        <f t="shared" si="365"/>
        <v>82.608695652173907</v>
      </c>
      <c r="R1503" s="2">
        <v>1.2</v>
      </c>
      <c r="S1503" s="2">
        <f t="shared" si="358"/>
        <v>4.45</v>
      </c>
      <c r="T1503" s="2"/>
      <c r="U1503" s="2"/>
      <c r="Y1503" s="8">
        <f t="shared" si="359"/>
        <v>2.9408695652173913</v>
      </c>
    </row>
    <row r="1504" spans="1:25" x14ac:dyDescent="0.25">
      <c r="A1504" s="34">
        <f t="shared" si="369"/>
        <v>1496</v>
      </c>
      <c r="B1504" s="35">
        <f t="shared" si="369"/>
        <v>92</v>
      </c>
      <c r="C1504" s="50" t="s">
        <v>392</v>
      </c>
      <c r="D1504" s="51">
        <v>226</v>
      </c>
      <c r="E1504" s="51"/>
      <c r="F1504" s="36">
        <v>0.20948</v>
      </c>
      <c r="G1504" s="36">
        <f t="shared" si="370"/>
        <v>4.1267560000000002E-2</v>
      </c>
      <c r="H1504" s="36">
        <v>5.0049999999999997E-2</v>
      </c>
      <c r="I1504" s="37">
        <f t="shared" si="371"/>
        <v>7.5074999999999994E-3</v>
      </c>
      <c r="J1504" s="32">
        <f t="shared" si="357"/>
        <v>0.11136124999999999</v>
      </c>
      <c r="K1504" s="33">
        <f t="shared" si="360"/>
        <v>1.6704187499999999E-2</v>
      </c>
      <c r="L1504" s="52" t="s">
        <v>394</v>
      </c>
      <c r="O1504" s="2">
        <f t="shared" si="363"/>
        <v>2.0854166666666667E-2</v>
      </c>
      <c r="P1504" s="2">
        <f t="shared" si="364"/>
        <v>15.014999999999999</v>
      </c>
      <c r="Q1504" s="7">
        <f t="shared" si="365"/>
        <v>68.002717391304344</v>
      </c>
      <c r="R1504" s="2">
        <v>1.2</v>
      </c>
      <c r="S1504" s="2">
        <f t="shared" si="358"/>
        <v>4.45</v>
      </c>
      <c r="T1504" s="2"/>
      <c r="U1504" s="2"/>
      <c r="Y1504" s="8">
        <f t="shared" si="359"/>
        <v>2.420896739130435</v>
      </c>
    </row>
    <row r="1505" spans="1:25" x14ac:dyDescent="0.25">
      <c r="A1505" s="34">
        <f t="shared" si="369"/>
        <v>1497</v>
      </c>
      <c r="B1505" s="35">
        <f t="shared" si="369"/>
        <v>93</v>
      </c>
      <c r="C1505" s="50" t="s">
        <v>392</v>
      </c>
      <c r="D1505" s="51">
        <v>228</v>
      </c>
      <c r="E1505" s="51"/>
      <c r="F1505" s="36">
        <v>0.16422999999999999</v>
      </c>
      <c r="G1505" s="36">
        <f t="shared" si="370"/>
        <v>3.2353309999999996E-2</v>
      </c>
      <c r="H1505" s="36">
        <v>4.4900000000000002E-2</v>
      </c>
      <c r="I1505" s="37">
        <f t="shared" si="371"/>
        <v>6.7350000000000005E-3</v>
      </c>
      <c r="J1505" s="32">
        <f t="shared" si="357"/>
        <v>9.9902500000000005E-2</v>
      </c>
      <c r="K1505" s="33">
        <f t="shared" si="360"/>
        <v>1.4985375E-2</v>
      </c>
      <c r="L1505" s="52" t="s">
        <v>394</v>
      </c>
      <c r="O1505" s="2">
        <f t="shared" si="363"/>
        <v>1.8708333333333334E-2</v>
      </c>
      <c r="P1505" s="2">
        <f t="shared" si="364"/>
        <v>13.47</v>
      </c>
      <c r="Q1505" s="7">
        <f t="shared" si="365"/>
        <v>61.005434782608702</v>
      </c>
      <c r="R1505" s="2">
        <v>1.2</v>
      </c>
      <c r="S1505" s="2">
        <f t="shared" si="358"/>
        <v>4.45</v>
      </c>
      <c r="T1505" s="2"/>
      <c r="U1505" s="2"/>
      <c r="Y1505" s="8">
        <f t="shared" si="359"/>
        <v>2.1717934782608697</v>
      </c>
    </row>
    <row r="1506" spans="1:25" x14ac:dyDescent="0.25">
      <c r="A1506" s="34">
        <f t="shared" si="369"/>
        <v>1498</v>
      </c>
      <c r="B1506" s="35">
        <f t="shared" si="369"/>
        <v>94</v>
      </c>
      <c r="C1506" s="50" t="s">
        <v>392</v>
      </c>
      <c r="D1506" s="51">
        <v>252</v>
      </c>
      <c r="E1506" s="51"/>
      <c r="F1506" s="36">
        <v>6.4807000000000003E-2</v>
      </c>
      <c r="G1506" s="36">
        <f t="shared" si="370"/>
        <v>1.2766979000000001E-2</v>
      </c>
      <c r="H1506" s="36">
        <v>1.9137999999999999E-2</v>
      </c>
      <c r="I1506" s="37">
        <f t="shared" si="371"/>
        <v>2.8706999999999999E-3</v>
      </c>
      <c r="J1506" s="32">
        <f t="shared" si="357"/>
        <v>4.2582049999999996E-2</v>
      </c>
      <c r="K1506" s="33">
        <f t="shared" si="360"/>
        <v>6.3873074999999989E-3</v>
      </c>
      <c r="L1506" s="24" t="s">
        <v>16</v>
      </c>
      <c r="O1506" s="2">
        <f t="shared" si="363"/>
        <v>7.9741666666666659E-3</v>
      </c>
      <c r="P1506" s="2">
        <f t="shared" si="364"/>
        <v>5.7413999999999996</v>
      </c>
      <c r="Q1506" s="7">
        <f t="shared" si="365"/>
        <v>26.002717391304348</v>
      </c>
      <c r="R1506" s="2">
        <v>1.2</v>
      </c>
      <c r="S1506" s="2">
        <f t="shared" si="358"/>
        <v>4.45</v>
      </c>
      <c r="T1506" s="2"/>
      <c r="U1506" s="2"/>
      <c r="Y1506" s="8">
        <f t="shared" si="359"/>
        <v>0.92569673913043471</v>
      </c>
    </row>
    <row r="1507" spans="1:25" x14ac:dyDescent="0.25">
      <c r="A1507" s="34">
        <f t="shared" si="369"/>
        <v>1499</v>
      </c>
      <c r="B1507" s="35">
        <f t="shared" si="369"/>
        <v>95</v>
      </c>
      <c r="C1507" s="50" t="s">
        <v>395</v>
      </c>
      <c r="D1507" s="51">
        <v>221</v>
      </c>
      <c r="E1507" s="51">
        <v>1</v>
      </c>
      <c r="F1507" s="36">
        <v>0.10055</v>
      </c>
      <c r="G1507" s="36">
        <f t="shared" si="370"/>
        <v>1.9808350000000002E-2</v>
      </c>
      <c r="H1507" s="36">
        <v>0</v>
      </c>
      <c r="I1507" s="37">
        <f t="shared" si="371"/>
        <v>0</v>
      </c>
      <c r="J1507" s="32">
        <f t="shared" si="357"/>
        <v>0</v>
      </c>
      <c r="K1507" s="33">
        <f t="shared" si="360"/>
        <v>0</v>
      </c>
      <c r="L1507" s="52"/>
      <c r="O1507" s="2">
        <f t="shared" si="363"/>
        <v>0</v>
      </c>
      <c r="P1507" s="2">
        <f t="shared" si="364"/>
        <v>0</v>
      </c>
      <c r="Q1507" s="7">
        <f t="shared" si="365"/>
        <v>0</v>
      </c>
      <c r="R1507" s="2">
        <v>1.2</v>
      </c>
      <c r="S1507" s="2">
        <f t="shared" si="358"/>
        <v>4.45</v>
      </c>
      <c r="T1507" s="2"/>
      <c r="U1507" s="2"/>
      <c r="Y1507" s="8">
        <f t="shared" si="359"/>
        <v>0</v>
      </c>
    </row>
    <row r="1508" spans="1:25" x14ac:dyDescent="0.25">
      <c r="A1508" s="34">
        <f t="shared" si="369"/>
        <v>1500</v>
      </c>
      <c r="B1508" s="35">
        <f t="shared" si="369"/>
        <v>96</v>
      </c>
      <c r="C1508" s="50" t="s">
        <v>395</v>
      </c>
      <c r="D1508" s="51">
        <v>221</v>
      </c>
      <c r="E1508" s="51">
        <v>2</v>
      </c>
      <c r="F1508" s="36">
        <v>0.10055</v>
      </c>
      <c r="G1508" s="36">
        <f t="shared" si="370"/>
        <v>1.9808350000000002E-2</v>
      </c>
      <c r="H1508" s="36">
        <v>9.9360000000000004E-2</v>
      </c>
      <c r="I1508" s="37">
        <f t="shared" si="371"/>
        <v>1.4904000000000001E-2</v>
      </c>
      <c r="J1508" s="32">
        <f t="shared" si="357"/>
        <v>0.22107600000000005</v>
      </c>
      <c r="K1508" s="33">
        <f t="shared" si="360"/>
        <v>3.3161400000000008E-2</v>
      </c>
      <c r="L1508" s="52" t="s">
        <v>394</v>
      </c>
      <c r="O1508" s="2">
        <f t="shared" si="363"/>
        <v>4.1400000000000006E-2</v>
      </c>
      <c r="P1508" s="2">
        <f t="shared" si="364"/>
        <v>29.808000000000003</v>
      </c>
      <c r="Q1508" s="7">
        <f t="shared" si="365"/>
        <v>135.00000000000003</v>
      </c>
      <c r="R1508" s="2">
        <v>1.2</v>
      </c>
      <c r="S1508" s="2">
        <f t="shared" si="358"/>
        <v>4.45</v>
      </c>
      <c r="T1508" s="2"/>
      <c r="U1508" s="2"/>
      <c r="Y1508" s="8">
        <f t="shared" si="359"/>
        <v>4.8060000000000009</v>
      </c>
    </row>
    <row r="1509" spans="1:25" x14ac:dyDescent="0.25">
      <c r="A1509" s="34">
        <f t="shared" si="369"/>
        <v>1501</v>
      </c>
      <c r="B1509" s="35">
        <f t="shared" si="369"/>
        <v>97</v>
      </c>
      <c r="C1509" s="50" t="s">
        <v>395</v>
      </c>
      <c r="D1509" s="51">
        <v>226</v>
      </c>
      <c r="E1509" s="51"/>
      <c r="F1509" s="36">
        <v>0.25124999999999997</v>
      </c>
      <c r="G1509" s="36">
        <f t="shared" si="370"/>
        <v>4.9496249999999999E-2</v>
      </c>
      <c r="H1509" s="36">
        <v>9.6420000000000006E-2</v>
      </c>
      <c r="I1509" s="37">
        <f t="shared" si="371"/>
        <v>1.4463E-2</v>
      </c>
      <c r="J1509" s="32">
        <f t="shared" si="357"/>
        <v>0.21453450000000002</v>
      </c>
      <c r="K1509" s="33">
        <f t="shared" si="360"/>
        <v>3.2180174999999998E-2</v>
      </c>
      <c r="L1509" s="52" t="s">
        <v>394</v>
      </c>
      <c r="O1509" s="2">
        <f t="shared" si="363"/>
        <v>4.0175000000000002E-2</v>
      </c>
      <c r="P1509" s="2">
        <f t="shared" si="364"/>
        <v>28.926000000000002</v>
      </c>
      <c r="Q1509" s="7">
        <f t="shared" si="365"/>
        <v>131.00543478260872</v>
      </c>
      <c r="R1509" s="2">
        <v>1.2</v>
      </c>
      <c r="S1509" s="2">
        <f t="shared" si="358"/>
        <v>4.45</v>
      </c>
      <c r="T1509" s="2"/>
      <c r="U1509" s="2"/>
      <c r="Y1509" s="8">
        <f t="shared" si="359"/>
        <v>4.6637934782608692</v>
      </c>
    </row>
    <row r="1510" spans="1:25" x14ac:dyDescent="0.25">
      <c r="A1510" s="34">
        <f t="shared" si="369"/>
        <v>1502</v>
      </c>
      <c r="B1510" s="35">
        <f t="shared" si="369"/>
        <v>98</v>
      </c>
      <c r="C1510" s="50" t="s">
        <v>395</v>
      </c>
      <c r="D1510" s="51">
        <v>247</v>
      </c>
      <c r="E1510" s="51"/>
      <c r="F1510" s="36">
        <v>0.14989</v>
      </c>
      <c r="G1510" s="36">
        <f t="shared" si="370"/>
        <v>2.9528330000000002E-2</v>
      </c>
      <c r="H1510" s="36">
        <v>5.1520000000000003E-2</v>
      </c>
      <c r="I1510" s="37">
        <f t="shared" si="371"/>
        <v>7.7280000000000005E-3</v>
      </c>
      <c r="J1510" s="32">
        <f t="shared" si="357"/>
        <v>0.11463200000000001</v>
      </c>
      <c r="K1510" s="33">
        <f t="shared" si="360"/>
        <v>1.71948E-2</v>
      </c>
      <c r="L1510" s="52" t="s">
        <v>394</v>
      </c>
      <c r="O1510" s="2">
        <f t="shared" si="363"/>
        <v>2.1466666666666669E-2</v>
      </c>
      <c r="P1510" s="2">
        <f t="shared" si="364"/>
        <v>15.456000000000003</v>
      </c>
      <c r="Q1510" s="7">
        <f t="shared" si="365"/>
        <v>70.000000000000014</v>
      </c>
      <c r="R1510" s="2">
        <v>1.2</v>
      </c>
      <c r="S1510" s="2">
        <f t="shared" si="358"/>
        <v>4.45</v>
      </c>
      <c r="T1510" s="2"/>
      <c r="U1510" s="2"/>
      <c r="Y1510" s="8">
        <f t="shared" si="359"/>
        <v>2.4920000000000004</v>
      </c>
    </row>
    <row r="1511" spans="1:25" x14ac:dyDescent="0.25">
      <c r="A1511" s="34">
        <f t="shared" si="369"/>
        <v>1503</v>
      </c>
      <c r="B1511" s="35">
        <f t="shared" si="369"/>
        <v>99</v>
      </c>
      <c r="C1511" s="50" t="s">
        <v>395</v>
      </c>
      <c r="D1511" s="51">
        <v>264</v>
      </c>
      <c r="E1511" s="51">
        <v>1</v>
      </c>
      <c r="F1511" s="36">
        <v>8.5169999999999996E-2</v>
      </c>
      <c r="G1511" s="36">
        <f t="shared" si="370"/>
        <v>1.677849E-2</v>
      </c>
      <c r="H1511" s="36">
        <v>4.1500000000000002E-2</v>
      </c>
      <c r="I1511" s="37">
        <f t="shared" si="371"/>
        <v>6.2250000000000005E-3</v>
      </c>
      <c r="J1511" s="32">
        <f t="shared" si="357"/>
        <v>9.2337500000000003E-2</v>
      </c>
      <c r="K1511" s="33">
        <f t="shared" si="360"/>
        <v>1.3850625E-2</v>
      </c>
      <c r="L1511" s="52" t="s">
        <v>394</v>
      </c>
      <c r="O1511" s="2">
        <f t="shared" si="363"/>
        <v>1.7291666666666667E-2</v>
      </c>
      <c r="P1511" s="2">
        <f t="shared" si="364"/>
        <v>12.450000000000001</v>
      </c>
      <c r="Q1511" s="7">
        <f t="shared" si="365"/>
        <v>56.385869565217398</v>
      </c>
      <c r="R1511" s="2">
        <v>1.2</v>
      </c>
      <c r="S1511" s="2">
        <f t="shared" si="358"/>
        <v>4.45</v>
      </c>
      <c r="T1511" s="2"/>
      <c r="U1511" s="2"/>
      <c r="Y1511" s="8">
        <f t="shared" si="359"/>
        <v>2.0073369565217392</v>
      </c>
    </row>
    <row r="1512" spans="1:25" x14ac:dyDescent="0.25">
      <c r="A1512" s="34">
        <f t="shared" si="369"/>
        <v>1504</v>
      </c>
      <c r="B1512" s="35">
        <f t="shared" si="369"/>
        <v>100</v>
      </c>
      <c r="C1512" s="50" t="s">
        <v>395</v>
      </c>
      <c r="D1512" s="51">
        <v>264</v>
      </c>
      <c r="E1512" s="51">
        <v>2</v>
      </c>
      <c r="F1512" s="36">
        <v>8.5169999999999996E-2</v>
      </c>
      <c r="G1512" s="36">
        <f t="shared" si="370"/>
        <v>1.677849E-2</v>
      </c>
      <c r="H1512" s="36">
        <v>4.1500000000000002E-2</v>
      </c>
      <c r="I1512" s="37">
        <f t="shared" si="371"/>
        <v>6.2250000000000005E-3</v>
      </c>
      <c r="J1512" s="32">
        <f t="shared" si="357"/>
        <v>9.2337500000000003E-2</v>
      </c>
      <c r="K1512" s="33">
        <f t="shared" si="360"/>
        <v>1.3850625E-2</v>
      </c>
      <c r="L1512" s="52" t="s">
        <v>394</v>
      </c>
      <c r="O1512" s="2">
        <f t="shared" si="363"/>
        <v>1.7291666666666667E-2</v>
      </c>
      <c r="P1512" s="2">
        <f t="shared" si="364"/>
        <v>12.450000000000001</v>
      </c>
      <c r="Q1512" s="7">
        <f t="shared" si="365"/>
        <v>56.385869565217398</v>
      </c>
      <c r="R1512" s="2">
        <v>1.2</v>
      </c>
      <c r="S1512" s="2">
        <f t="shared" si="358"/>
        <v>4.45</v>
      </c>
      <c r="T1512" s="2"/>
      <c r="U1512" s="2"/>
      <c r="Y1512" s="8">
        <f t="shared" si="359"/>
        <v>2.0073369565217392</v>
      </c>
    </row>
    <row r="1513" spans="1:25" x14ac:dyDescent="0.25">
      <c r="A1513" s="34">
        <f t="shared" si="369"/>
        <v>1505</v>
      </c>
      <c r="B1513" s="35">
        <f t="shared" si="369"/>
        <v>101</v>
      </c>
      <c r="C1513" s="50" t="s">
        <v>395</v>
      </c>
      <c r="D1513" s="51">
        <v>275</v>
      </c>
      <c r="E1513" s="51"/>
      <c r="F1513" s="36">
        <v>0.16486000000000001</v>
      </c>
      <c r="G1513" s="36">
        <f t="shared" si="370"/>
        <v>3.247742E-2</v>
      </c>
      <c r="H1513" s="36">
        <v>7.5069999999999998E-2</v>
      </c>
      <c r="I1513" s="37">
        <f t="shared" si="371"/>
        <v>1.12605E-2</v>
      </c>
      <c r="J1513" s="32">
        <f t="shared" si="357"/>
        <v>0.16703075000000003</v>
      </c>
      <c r="K1513" s="33">
        <f t="shared" si="360"/>
        <v>2.5054612500000004E-2</v>
      </c>
      <c r="L1513" s="52" t="s">
        <v>394</v>
      </c>
      <c r="O1513" s="2">
        <f t="shared" si="363"/>
        <v>3.127916666666667E-2</v>
      </c>
      <c r="P1513" s="2">
        <f t="shared" si="364"/>
        <v>22.521000000000004</v>
      </c>
      <c r="Q1513" s="7">
        <f t="shared" si="365"/>
        <v>101.99728260869567</v>
      </c>
      <c r="R1513" s="2">
        <v>1.2</v>
      </c>
      <c r="S1513" s="2">
        <f t="shared" si="358"/>
        <v>4.45</v>
      </c>
      <c r="T1513" s="2"/>
      <c r="U1513" s="2"/>
      <c r="Y1513" s="8">
        <f t="shared" si="359"/>
        <v>3.6311032608695659</v>
      </c>
    </row>
    <row r="1514" spans="1:25" x14ac:dyDescent="0.25">
      <c r="A1514" s="34">
        <f t="shared" si="369"/>
        <v>1506</v>
      </c>
      <c r="B1514" s="35">
        <f t="shared" si="369"/>
        <v>102</v>
      </c>
      <c r="C1514" s="50" t="s">
        <v>395</v>
      </c>
      <c r="D1514" s="51">
        <v>290</v>
      </c>
      <c r="E1514" s="51"/>
      <c r="F1514" s="36">
        <v>2.3687E-2</v>
      </c>
      <c r="G1514" s="36">
        <f t="shared" si="370"/>
        <v>4.6663390000000003E-3</v>
      </c>
      <c r="H1514" s="36">
        <v>6.6239999999999997E-3</v>
      </c>
      <c r="I1514" s="37">
        <f t="shared" si="371"/>
        <v>9.9359999999999987E-4</v>
      </c>
      <c r="J1514" s="32">
        <f t="shared" si="357"/>
        <v>1.47384E-2</v>
      </c>
      <c r="K1514" s="33">
        <f t="shared" si="360"/>
        <v>2.21076E-3</v>
      </c>
      <c r="L1514" s="52"/>
      <c r="O1514" s="2">
        <f t="shared" si="363"/>
        <v>2.7599999999999999E-3</v>
      </c>
      <c r="P1514" s="2">
        <f t="shared" si="364"/>
        <v>1.9871999999999999</v>
      </c>
      <c r="Q1514" s="7">
        <f t="shared" si="365"/>
        <v>9</v>
      </c>
      <c r="R1514" s="2">
        <v>1.2</v>
      </c>
      <c r="S1514" s="2">
        <f t="shared" si="358"/>
        <v>4.45</v>
      </c>
      <c r="T1514" s="2"/>
      <c r="U1514" s="2"/>
      <c r="Y1514" s="8">
        <f t="shared" si="359"/>
        <v>0.32040000000000002</v>
      </c>
    </row>
    <row r="1515" spans="1:25" x14ac:dyDescent="0.25">
      <c r="A1515" s="34">
        <f t="shared" ref="A1515:B1530" si="372">A1514+1</f>
        <v>1507</v>
      </c>
      <c r="B1515" s="35">
        <f t="shared" si="372"/>
        <v>103</v>
      </c>
      <c r="C1515" s="50" t="s">
        <v>396</v>
      </c>
      <c r="D1515" s="51">
        <v>161</v>
      </c>
      <c r="E1515" s="51"/>
      <c r="F1515" s="36">
        <v>9.5721000000000001E-2</v>
      </c>
      <c r="G1515" s="36">
        <f t="shared" si="370"/>
        <v>1.8857037E-2</v>
      </c>
      <c r="H1515" s="36">
        <v>3.3856999999999998E-2</v>
      </c>
      <c r="I1515" s="37">
        <f t="shared" si="371"/>
        <v>5.0785499999999994E-3</v>
      </c>
      <c r="J1515" s="32">
        <f t="shared" si="357"/>
        <v>7.5331825000000005E-2</v>
      </c>
      <c r="K1515" s="33">
        <f t="shared" si="360"/>
        <v>1.129977375E-2</v>
      </c>
      <c r="L1515" s="24" t="s">
        <v>16</v>
      </c>
      <c r="O1515" s="2">
        <f t="shared" si="363"/>
        <v>1.4107083333333333E-2</v>
      </c>
      <c r="P1515" s="2">
        <f t="shared" si="364"/>
        <v>10.1571</v>
      </c>
      <c r="Q1515" s="7">
        <f t="shared" si="365"/>
        <v>46.001358695652172</v>
      </c>
      <c r="R1515" s="2">
        <v>1.2</v>
      </c>
      <c r="S1515" s="2">
        <f t="shared" si="358"/>
        <v>4.45</v>
      </c>
      <c r="T1515" s="2"/>
      <c r="U1515" s="2"/>
      <c r="Y1515" s="8">
        <f t="shared" si="359"/>
        <v>1.6376483695652173</v>
      </c>
    </row>
    <row r="1516" spans="1:25" x14ac:dyDescent="0.25">
      <c r="A1516" s="34">
        <f t="shared" si="372"/>
        <v>1508</v>
      </c>
      <c r="B1516" s="35">
        <f t="shared" si="372"/>
        <v>104</v>
      </c>
      <c r="C1516" s="50" t="s">
        <v>396</v>
      </c>
      <c r="D1516" s="51">
        <v>169</v>
      </c>
      <c r="E1516" s="51"/>
      <c r="F1516" s="36">
        <v>0.150614</v>
      </c>
      <c r="G1516" s="36">
        <f t="shared" si="370"/>
        <v>2.9670958000000001E-2</v>
      </c>
      <c r="H1516" s="36">
        <v>6.7713999999999996E-2</v>
      </c>
      <c r="I1516" s="37">
        <f t="shared" si="371"/>
        <v>1.0157099999999999E-2</v>
      </c>
      <c r="J1516" s="32">
        <f t="shared" si="357"/>
        <v>0.15066365000000001</v>
      </c>
      <c r="K1516" s="33">
        <f t="shared" si="360"/>
        <v>2.2599547500000001E-2</v>
      </c>
      <c r="L1516" s="52" t="s">
        <v>394</v>
      </c>
      <c r="O1516" s="2">
        <f t="shared" si="363"/>
        <v>2.8214166666666665E-2</v>
      </c>
      <c r="P1516" s="2">
        <f t="shared" si="364"/>
        <v>20.3142</v>
      </c>
      <c r="Q1516" s="7">
        <f t="shared" si="365"/>
        <v>92.002717391304344</v>
      </c>
      <c r="R1516" s="2">
        <v>1.2</v>
      </c>
      <c r="S1516" s="2">
        <f t="shared" si="358"/>
        <v>4.45</v>
      </c>
      <c r="T1516" s="2"/>
      <c r="U1516" s="2"/>
      <c r="Y1516" s="8">
        <f t="shared" si="359"/>
        <v>3.2752967391304346</v>
      </c>
    </row>
    <row r="1517" spans="1:25" x14ac:dyDescent="0.25">
      <c r="A1517" s="34">
        <f t="shared" si="372"/>
        <v>1509</v>
      </c>
      <c r="B1517" s="35">
        <f t="shared" si="372"/>
        <v>105</v>
      </c>
      <c r="C1517" s="50" t="s">
        <v>396</v>
      </c>
      <c r="D1517" s="51">
        <v>179</v>
      </c>
      <c r="E1517" s="51"/>
      <c r="F1517" s="36">
        <v>0.17399999999999999</v>
      </c>
      <c r="G1517" s="36">
        <f t="shared" si="370"/>
        <v>3.4277999999999996E-2</v>
      </c>
      <c r="H1517" s="36">
        <v>3.9744000000000002E-2</v>
      </c>
      <c r="I1517" s="37">
        <f t="shared" si="371"/>
        <v>5.9616000000000001E-3</v>
      </c>
      <c r="J1517" s="32">
        <f t="shared" si="357"/>
        <v>8.8430400000000006E-2</v>
      </c>
      <c r="K1517" s="33">
        <f t="shared" si="360"/>
        <v>1.326456E-2</v>
      </c>
      <c r="L1517" s="52" t="s">
        <v>394</v>
      </c>
      <c r="O1517" s="2">
        <f t="shared" si="363"/>
        <v>1.6560000000000002E-2</v>
      </c>
      <c r="P1517" s="2">
        <f t="shared" si="364"/>
        <v>11.923200000000001</v>
      </c>
      <c r="Q1517" s="7">
        <f t="shared" si="365"/>
        <v>54.000000000000007</v>
      </c>
      <c r="R1517" s="2">
        <v>1.2</v>
      </c>
      <c r="S1517" s="2">
        <f t="shared" si="358"/>
        <v>4.45</v>
      </c>
      <c r="T1517" s="2"/>
      <c r="U1517" s="2"/>
      <c r="Y1517" s="8">
        <f t="shared" si="359"/>
        <v>1.9224000000000001</v>
      </c>
    </row>
    <row r="1518" spans="1:25" x14ac:dyDescent="0.25">
      <c r="A1518" s="34">
        <f t="shared" si="372"/>
        <v>1510</v>
      </c>
      <c r="B1518" s="35">
        <f t="shared" si="372"/>
        <v>106</v>
      </c>
      <c r="C1518" s="50" t="s">
        <v>396</v>
      </c>
      <c r="D1518" s="51">
        <v>207</v>
      </c>
      <c r="E1518" s="51">
        <v>1</v>
      </c>
      <c r="F1518" s="36">
        <v>8.6709999999999995E-2</v>
      </c>
      <c r="G1518" s="36">
        <f t="shared" si="370"/>
        <v>1.7081869999999999E-2</v>
      </c>
      <c r="H1518" s="36">
        <v>5.4829999999999997E-2</v>
      </c>
      <c r="I1518" s="37">
        <f t="shared" si="371"/>
        <v>8.2244999999999992E-3</v>
      </c>
      <c r="J1518" s="32">
        <f t="shared" si="357"/>
        <v>0.12199675</v>
      </c>
      <c r="K1518" s="33">
        <f t="shared" si="360"/>
        <v>1.82995125E-2</v>
      </c>
      <c r="L1518" s="52" t="s">
        <v>394</v>
      </c>
      <c r="O1518" s="2">
        <f t="shared" si="363"/>
        <v>2.2845833333333333E-2</v>
      </c>
      <c r="P1518" s="2">
        <f t="shared" si="364"/>
        <v>16.449000000000002</v>
      </c>
      <c r="Q1518" s="7">
        <f t="shared" si="365"/>
        <v>74.497282608695656</v>
      </c>
      <c r="R1518" s="2">
        <v>1.2</v>
      </c>
      <c r="S1518" s="2">
        <f t="shared" si="358"/>
        <v>4.45</v>
      </c>
      <c r="T1518" s="2"/>
      <c r="U1518" s="2"/>
      <c r="Y1518" s="8">
        <f t="shared" si="359"/>
        <v>2.6521032608695654</v>
      </c>
    </row>
    <row r="1519" spans="1:25" x14ac:dyDescent="0.25">
      <c r="A1519" s="34">
        <f t="shared" si="372"/>
        <v>1511</v>
      </c>
      <c r="B1519" s="35">
        <f t="shared" si="372"/>
        <v>107</v>
      </c>
      <c r="C1519" s="50" t="s">
        <v>396</v>
      </c>
      <c r="D1519" s="51">
        <v>207</v>
      </c>
      <c r="E1519" s="51">
        <v>2</v>
      </c>
      <c r="F1519" s="36">
        <v>8.6709999999999995E-2</v>
      </c>
      <c r="G1519" s="36">
        <f t="shared" si="370"/>
        <v>1.7081869999999999E-2</v>
      </c>
      <c r="H1519" s="36">
        <v>5.4829999999999997E-2</v>
      </c>
      <c r="I1519" s="37">
        <f t="shared" si="371"/>
        <v>8.2244999999999992E-3</v>
      </c>
      <c r="J1519" s="32">
        <f t="shared" si="357"/>
        <v>0.12199675</v>
      </c>
      <c r="K1519" s="33">
        <f t="shared" si="360"/>
        <v>1.82995125E-2</v>
      </c>
      <c r="L1519" s="52"/>
      <c r="O1519" s="2">
        <f t="shared" si="363"/>
        <v>2.2845833333333333E-2</v>
      </c>
      <c r="P1519" s="2">
        <f t="shared" si="364"/>
        <v>16.449000000000002</v>
      </c>
      <c r="Q1519" s="7">
        <f t="shared" si="365"/>
        <v>74.497282608695656</v>
      </c>
      <c r="R1519" s="2">
        <v>1.2</v>
      </c>
      <c r="S1519" s="2">
        <f t="shared" si="358"/>
        <v>4.45</v>
      </c>
      <c r="T1519" s="2"/>
      <c r="U1519" s="2"/>
      <c r="Y1519" s="8">
        <f t="shared" si="359"/>
        <v>2.6521032608695654</v>
      </c>
    </row>
    <row r="1520" spans="1:25" x14ac:dyDescent="0.25">
      <c r="A1520" s="34">
        <f t="shared" si="372"/>
        <v>1512</v>
      </c>
      <c r="B1520" s="35">
        <f t="shared" si="372"/>
        <v>108</v>
      </c>
      <c r="C1520" s="50" t="s">
        <v>396</v>
      </c>
      <c r="D1520" s="51">
        <v>244</v>
      </c>
      <c r="E1520" s="51"/>
      <c r="F1520" s="36">
        <v>5.9584999999999999E-2</v>
      </c>
      <c r="G1520" s="36">
        <f t="shared" si="370"/>
        <v>1.1738245E-2</v>
      </c>
      <c r="H1520" s="36">
        <v>2.5021999999999999E-2</v>
      </c>
      <c r="I1520" s="37">
        <f t="shared" si="371"/>
        <v>3.7532999999999998E-3</v>
      </c>
      <c r="J1520" s="32">
        <f t="shared" si="357"/>
        <v>5.567395E-2</v>
      </c>
      <c r="K1520" s="33">
        <f t="shared" si="360"/>
        <v>8.3510924999999989E-3</v>
      </c>
      <c r="L1520" s="52"/>
      <c r="O1520" s="2">
        <f t="shared" si="363"/>
        <v>1.0425833333333334E-2</v>
      </c>
      <c r="P1520" s="2">
        <f t="shared" si="364"/>
        <v>7.5065999999999997</v>
      </c>
      <c r="Q1520" s="7">
        <f t="shared" si="365"/>
        <v>33.997282608695649</v>
      </c>
      <c r="R1520" s="2">
        <v>1.2</v>
      </c>
      <c r="S1520" s="2">
        <f t="shared" si="358"/>
        <v>4.45</v>
      </c>
      <c r="T1520" s="2"/>
      <c r="U1520" s="2"/>
      <c r="Y1520" s="8">
        <f t="shared" si="359"/>
        <v>1.2103032608695652</v>
      </c>
    </row>
    <row r="1521" spans="1:25" x14ac:dyDescent="0.25">
      <c r="A1521" s="34">
        <f t="shared" si="372"/>
        <v>1513</v>
      </c>
      <c r="B1521" s="35">
        <f t="shared" si="372"/>
        <v>109</v>
      </c>
      <c r="C1521" s="50" t="s">
        <v>396</v>
      </c>
      <c r="D1521" s="51">
        <v>250</v>
      </c>
      <c r="E1521" s="51"/>
      <c r="F1521" s="36">
        <v>0.13192000000000001</v>
      </c>
      <c r="G1521" s="36">
        <f t="shared" si="370"/>
        <v>2.5988240000000003E-2</v>
      </c>
      <c r="H1521" s="36">
        <v>8.0799999999999997E-2</v>
      </c>
      <c r="I1521" s="37">
        <f t="shared" si="371"/>
        <v>1.2119999999999999E-2</v>
      </c>
      <c r="J1521" s="32">
        <f t="shared" si="357"/>
        <v>0.17978</v>
      </c>
      <c r="K1521" s="33">
        <f t="shared" si="360"/>
        <v>2.6966999999999998E-2</v>
      </c>
      <c r="L1521" s="52"/>
      <c r="O1521" s="2">
        <f t="shared" si="363"/>
        <v>3.3666666666666664E-2</v>
      </c>
      <c r="P1521" s="2">
        <f t="shared" si="364"/>
        <v>24.24</v>
      </c>
      <c r="Q1521" s="7">
        <f t="shared" si="365"/>
        <v>109.78260869565217</v>
      </c>
      <c r="R1521" s="2">
        <v>1.2</v>
      </c>
      <c r="S1521" s="2">
        <f t="shared" si="358"/>
        <v>4.45</v>
      </c>
      <c r="T1521" s="2"/>
      <c r="U1521" s="2"/>
      <c r="Y1521" s="8">
        <f t="shared" si="359"/>
        <v>3.908260869565217</v>
      </c>
    </row>
    <row r="1522" spans="1:25" x14ac:dyDescent="0.25">
      <c r="A1522" s="34">
        <f t="shared" si="372"/>
        <v>1514</v>
      </c>
      <c r="B1522" s="35">
        <f t="shared" si="372"/>
        <v>110</v>
      </c>
      <c r="C1522" s="50" t="s">
        <v>396</v>
      </c>
      <c r="D1522" s="51" t="s">
        <v>397</v>
      </c>
      <c r="E1522" s="51"/>
      <c r="F1522" s="36">
        <v>0.15185299999999999</v>
      </c>
      <c r="G1522" s="36">
        <f t="shared" si="370"/>
        <v>2.9915041E-2</v>
      </c>
      <c r="H1522" s="36">
        <v>9.1998999999999997E-2</v>
      </c>
      <c r="I1522" s="37">
        <f t="shared" si="371"/>
        <v>1.3799849999999999E-2</v>
      </c>
      <c r="J1522" s="32">
        <f t="shared" si="357"/>
        <v>0.204697775</v>
      </c>
      <c r="K1522" s="33">
        <f t="shared" si="360"/>
        <v>3.0704666249999998E-2</v>
      </c>
      <c r="L1522" s="24" t="s">
        <v>16</v>
      </c>
      <c r="O1522" s="2">
        <f t="shared" si="363"/>
        <v>3.8332916666666668E-2</v>
      </c>
      <c r="P1522" s="2">
        <f t="shared" si="364"/>
        <v>27.599700000000002</v>
      </c>
      <c r="Q1522" s="7">
        <f t="shared" si="365"/>
        <v>124.99864130434784</v>
      </c>
      <c r="R1522" s="2">
        <v>1.2</v>
      </c>
      <c r="S1522" s="2">
        <f t="shared" si="358"/>
        <v>4.45</v>
      </c>
      <c r="T1522" s="2"/>
      <c r="U1522" s="2"/>
      <c r="Y1522" s="8">
        <f t="shared" si="359"/>
        <v>4.4499516304347821</v>
      </c>
    </row>
    <row r="1523" spans="1:25" x14ac:dyDescent="0.25">
      <c r="A1523" s="34">
        <f t="shared" si="372"/>
        <v>1515</v>
      </c>
      <c r="B1523" s="35">
        <f t="shared" si="372"/>
        <v>111</v>
      </c>
      <c r="C1523" s="50" t="s">
        <v>396</v>
      </c>
      <c r="D1523" s="51">
        <v>252</v>
      </c>
      <c r="E1523" s="51"/>
      <c r="F1523" s="36">
        <v>0.16545399999999999</v>
      </c>
      <c r="G1523" s="36">
        <f t="shared" si="370"/>
        <v>3.2594437999999996E-2</v>
      </c>
      <c r="H1523" s="36">
        <v>7.5649999999999995E-2</v>
      </c>
      <c r="I1523" s="37">
        <f t="shared" si="371"/>
        <v>1.1347499999999998E-2</v>
      </c>
      <c r="J1523" s="32">
        <f t="shared" si="357"/>
        <v>0.16832125000000001</v>
      </c>
      <c r="K1523" s="33">
        <f t="shared" si="360"/>
        <v>2.5248187500000002E-2</v>
      </c>
      <c r="L1523" s="52"/>
      <c r="O1523" s="2">
        <f t="shared" si="363"/>
        <v>3.1520833333333331E-2</v>
      </c>
      <c r="P1523" s="2">
        <f t="shared" si="364"/>
        <v>22.695</v>
      </c>
      <c r="Q1523" s="7">
        <f t="shared" si="365"/>
        <v>102.78532608695653</v>
      </c>
      <c r="R1523" s="2">
        <v>1.2</v>
      </c>
      <c r="S1523" s="2">
        <f t="shared" si="358"/>
        <v>4.45</v>
      </c>
      <c r="T1523" s="2"/>
      <c r="U1523" s="2"/>
      <c r="Y1523" s="8">
        <f t="shared" si="359"/>
        <v>3.6591576086956521</v>
      </c>
    </row>
    <row r="1524" spans="1:25" x14ac:dyDescent="0.25">
      <c r="A1524" s="34">
        <f t="shared" si="372"/>
        <v>1516</v>
      </c>
      <c r="B1524" s="35">
        <f t="shared" si="372"/>
        <v>112</v>
      </c>
      <c r="C1524" s="50" t="s">
        <v>396</v>
      </c>
      <c r="D1524" s="51">
        <v>254</v>
      </c>
      <c r="E1524" s="51"/>
      <c r="F1524" s="36">
        <v>0.14177000000000001</v>
      </c>
      <c r="G1524" s="36">
        <f t="shared" si="370"/>
        <v>2.7928690000000003E-2</v>
      </c>
      <c r="H1524" s="36">
        <v>5.2260000000000001E-2</v>
      </c>
      <c r="I1524" s="37">
        <f t="shared" si="371"/>
        <v>7.8390000000000005E-3</v>
      </c>
      <c r="J1524" s="32">
        <f t="shared" si="357"/>
        <v>0.11627850000000002</v>
      </c>
      <c r="K1524" s="33">
        <f t="shared" si="360"/>
        <v>1.7441775000000003E-2</v>
      </c>
      <c r="L1524" s="52"/>
      <c r="O1524" s="2">
        <f t="shared" si="363"/>
        <v>2.1775000000000003E-2</v>
      </c>
      <c r="P1524" s="2">
        <f t="shared" si="364"/>
        <v>15.678000000000003</v>
      </c>
      <c r="Q1524" s="7">
        <f t="shared" si="365"/>
        <v>71.005434782608702</v>
      </c>
      <c r="R1524" s="2">
        <v>1.2</v>
      </c>
      <c r="S1524" s="2">
        <f t="shared" si="358"/>
        <v>4.45</v>
      </c>
      <c r="T1524" s="2"/>
      <c r="U1524" s="2"/>
      <c r="Y1524" s="8">
        <f t="shared" si="359"/>
        <v>2.52779347826087</v>
      </c>
    </row>
    <row r="1525" spans="1:25" x14ac:dyDescent="0.25">
      <c r="A1525" s="34">
        <f t="shared" si="372"/>
        <v>1517</v>
      </c>
      <c r="B1525" s="35">
        <f t="shared" si="372"/>
        <v>113</v>
      </c>
      <c r="C1525" s="50" t="s">
        <v>396</v>
      </c>
      <c r="D1525" s="51">
        <v>256</v>
      </c>
      <c r="E1525" s="51"/>
      <c r="F1525" s="36">
        <v>0.15326999999999999</v>
      </c>
      <c r="G1525" s="36">
        <f t="shared" si="370"/>
        <v>3.0194189999999999E-2</v>
      </c>
      <c r="H1525" s="36">
        <v>8.1699999999999995E-2</v>
      </c>
      <c r="I1525" s="37">
        <f t="shared" si="371"/>
        <v>1.2254999999999999E-2</v>
      </c>
      <c r="J1525" s="32">
        <f t="shared" si="357"/>
        <v>0.18178249999999999</v>
      </c>
      <c r="K1525" s="33">
        <f t="shared" si="360"/>
        <v>2.7267374999999996E-2</v>
      </c>
      <c r="L1525" s="52"/>
      <c r="O1525" s="2">
        <f t="shared" si="363"/>
        <v>3.4041666666666665E-2</v>
      </c>
      <c r="P1525" s="2">
        <f t="shared" si="364"/>
        <v>24.509999999999998</v>
      </c>
      <c r="Q1525" s="7">
        <f t="shared" si="365"/>
        <v>111.00543478260869</v>
      </c>
      <c r="R1525" s="2">
        <v>1.2</v>
      </c>
      <c r="S1525" s="2">
        <f t="shared" si="358"/>
        <v>4.45</v>
      </c>
      <c r="T1525" s="2"/>
      <c r="U1525" s="2"/>
      <c r="Y1525" s="8">
        <f t="shared" si="359"/>
        <v>3.9517934782608695</v>
      </c>
    </row>
    <row r="1526" spans="1:25" x14ac:dyDescent="0.25">
      <c r="A1526" s="34">
        <f t="shared" si="372"/>
        <v>1518</v>
      </c>
      <c r="B1526" s="35">
        <f t="shared" si="372"/>
        <v>114</v>
      </c>
      <c r="C1526" s="50" t="s">
        <v>396</v>
      </c>
      <c r="D1526" s="51">
        <v>290</v>
      </c>
      <c r="E1526" s="51"/>
      <c r="F1526" s="36">
        <v>0.16395799999999999</v>
      </c>
      <c r="G1526" s="36">
        <f t="shared" si="370"/>
        <v>3.2299726000000001E-2</v>
      </c>
      <c r="H1526" s="36">
        <v>8.2433000000000006E-2</v>
      </c>
      <c r="I1526" s="37">
        <f t="shared" si="371"/>
        <v>1.2364950000000001E-2</v>
      </c>
      <c r="J1526" s="32">
        <f t="shared" si="357"/>
        <v>0.18341342500000005</v>
      </c>
      <c r="K1526" s="33">
        <f t="shared" si="360"/>
        <v>2.7512013750000005E-2</v>
      </c>
      <c r="L1526" s="52"/>
      <c r="O1526" s="2">
        <f t="shared" si="363"/>
        <v>3.4347083333333341E-2</v>
      </c>
      <c r="P1526" s="2">
        <f t="shared" si="364"/>
        <v>24.729900000000008</v>
      </c>
      <c r="Q1526" s="7">
        <f t="shared" si="365"/>
        <v>112.00135869565221</v>
      </c>
      <c r="R1526" s="2">
        <v>1.2</v>
      </c>
      <c r="S1526" s="2">
        <f t="shared" si="358"/>
        <v>4.45</v>
      </c>
      <c r="T1526" s="2"/>
      <c r="U1526" s="2"/>
      <c r="Y1526" s="8">
        <f t="shared" si="359"/>
        <v>3.9872483695652186</v>
      </c>
    </row>
    <row r="1527" spans="1:25" x14ac:dyDescent="0.25">
      <c r="A1527" s="34">
        <f t="shared" si="372"/>
        <v>1519</v>
      </c>
      <c r="B1527" s="35">
        <f t="shared" si="372"/>
        <v>115</v>
      </c>
      <c r="C1527" s="50" t="s">
        <v>398</v>
      </c>
      <c r="D1527" s="51">
        <v>1</v>
      </c>
      <c r="E1527" s="51"/>
      <c r="F1527" s="36">
        <v>6.5915000000000001E-2</v>
      </c>
      <c r="G1527" s="36">
        <f t="shared" si="370"/>
        <v>1.2985255000000001E-2</v>
      </c>
      <c r="H1527" s="36">
        <v>2.1343000000000001E-2</v>
      </c>
      <c r="I1527" s="37">
        <f t="shared" si="371"/>
        <v>3.2014500000000002E-3</v>
      </c>
      <c r="J1527" s="32">
        <f t="shared" si="357"/>
        <v>4.7488175000000001E-2</v>
      </c>
      <c r="K1527" s="33">
        <f t="shared" si="360"/>
        <v>7.1232262499999997E-3</v>
      </c>
      <c r="L1527" s="24" t="s">
        <v>16</v>
      </c>
      <c r="O1527" s="2">
        <f t="shared" si="363"/>
        <v>8.892916666666667E-3</v>
      </c>
      <c r="P1527" s="2">
        <f t="shared" si="364"/>
        <v>6.4029000000000007</v>
      </c>
      <c r="Q1527" s="7">
        <f t="shared" si="365"/>
        <v>28.998641304347831</v>
      </c>
      <c r="R1527" s="2">
        <v>1.2</v>
      </c>
      <c r="S1527" s="2">
        <f t="shared" si="358"/>
        <v>4.45</v>
      </c>
      <c r="T1527" s="2"/>
      <c r="U1527" s="2"/>
      <c r="Y1527" s="8">
        <f t="shared" si="359"/>
        <v>1.0323516304347826</v>
      </c>
    </row>
    <row r="1528" spans="1:25" x14ac:dyDescent="0.25">
      <c r="A1528" s="34">
        <f t="shared" si="372"/>
        <v>1520</v>
      </c>
      <c r="B1528" s="35">
        <f t="shared" si="372"/>
        <v>116</v>
      </c>
      <c r="C1528" s="50" t="s">
        <v>398</v>
      </c>
      <c r="D1528" s="51">
        <v>34</v>
      </c>
      <c r="E1528" s="51"/>
      <c r="F1528" s="36">
        <v>0.17488899999999999</v>
      </c>
      <c r="G1528" s="36">
        <f t="shared" si="370"/>
        <v>3.4453132999999997E-2</v>
      </c>
      <c r="H1528" s="36">
        <v>6.8446000000000007E-2</v>
      </c>
      <c r="I1528" s="37">
        <f t="shared" si="371"/>
        <v>1.0266900000000001E-2</v>
      </c>
      <c r="J1528" s="32">
        <f t="shared" si="357"/>
        <v>0.15229235000000002</v>
      </c>
      <c r="K1528" s="33">
        <f t="shared" si="360"/>
        <v>2.2843852500000001E-2</v>
      </c>
      <c r="L1528" s="52"/>
      <c r="O1528" s="2">
        <f t="shared" si="363"/>
        <v>2.8519166666666672E-2</v>
      </c>
      <c r="P1528" s="2">
        <f t="shared" si="364"/>
        <v>20.533800000000003</v>
      </c>
      <c r="Q1528" s="7">
        <f t="shared" si="365"/>
        <v>92.99728260869567</v>
      </c>
      <c r="R1528" s="2">
        <v>1.2</v>
      </c>
      <c r="S1528" s="2">
        <f t="shared" si="358"/>
        <v>4.45</v>
      </c>
      <c r="T1528" s="2"/>
      <c r="U1528" s="2"/>
      <c r="Y1528" s="8">
        <f t="shared" si="359"/>
        <v>3.3107032608695657</v>
      </c>
    </row>
    <row r="1529" spans="1:25" x14ac:dyDescent="0.25">
      <c r="A1529" s="34">
        <f t="shared" si="372"/>
        <v>1521</v>
      </c>
      <c r="B1529" s="35">
        <f t="shared" si="372"/>
        <v>117</v>
      </c>
      <c r="C1529" s="50" t="s">
        <v>398</v>
      </c>
      <c r="D1529" s="51">
        <v>40</v>
      </c>
      <c r="E1529" s="51"/>
      <c r="F1529" s="36">
        <v>0.16139000000000001</v>
      </c>
      <c r="G1529" s="36">
        <f t="shared" si="370"/>
        <v>3.1793830000000002E-2</v>
      </c>
      <c r="H1529" s="36">
        <v>5.2257999999999999E-2</v>
      </c>
      <c r="I1529" s="37">
        <f t="shared" si="371"/>
        <v>7.8386999999999988E-3</v>
      </c>
      <c r="J1529" s="32">
        <f t="shared" si="357"/>
        <v>0.11627405</v>
      </c>
      <c r="K1529" s="33">
        <f t="shared" si="360"/>
        <v>1.7441107500000001E-2</v>
      </c>
      <c r="L1529" s="52"/>
      <c r="O1529" s="2">
        <f t="shared" si="363"/>
        <v>2.1774166666666667E-2</v>
      </c>
      <c r="P1529" s="2">
        <f t="shared" si="364"/>
        <v>15.677400000000002</v>
      </c>
      <c r="Q1529" s="7">
        <f t="shared" si="365"/>
        <v>71.002717391304358</v>
      </c>
      <c r="R1529" s="2">
        <v>1.2</v>
      </c>
      <c r="S1529" s="2">
        <f t="shared" si="358"/>
        <v>4.45</v>
      </c>
      <c r="T1529" s="2"/>
      <c r="U1529" s="2"/>
      <c r="Y1529" s="8">
        <f t="shared" si="359"/>
        <v>2.5276967391304348</v>
      </c>
    </row>
    <row r="1530" spans="1:25" x14ac:dyDescent="0.25">
      <c r="A1530" s="34">
        <f t="shared" si="372"/>
        <v>1522</v>
      </c>
      <c r="B1530" s="35">
        <f t="shared" si="372"/>
        <v>118</v>
      </c>
      <c r="C1530" s="50" t="s">
        <v>398</v>
      </c>
      <c r="D1530" s="51">
        <v>51</v>
      </c>
      <c r="E1530" s="51"/>
      <c r="F1530" s="36">
        <v>9.2563000000000006E-2</v>
      </c>
      <c r="G1530" s="36">
        <f t="shared" si="370"/>
        <v>1.8234911000000003E-2</v>
      </c>
      <c r="H1530" s="36">
        <v>3.2383000000000002E-2</v>
      </c>
      <c r="I1530" s="37">
        <f t="shared" si="371"/>
        <v>4.8574500000000001E-3</v>
      </c>
      <c r="J1530" s="32">
        <f t="shared" si="357"/>
        <v>7.205217500000001E-2</v>
      </c>
      <c r="K1530" s="33">
        <f t="shared" si="360"/>
        <v>1.0807826250000001E-2</v>
      </c>
      <c r="L1530" s="24" t="s">
        <v>16</v>
      </c>
      <c r="O1530" s="2">
        <f t="shared" si="363"/>
        <v>1.3492916666666669E-2</v>
      </c>
      <c r="P1530" s="2">
        <f t="shared" si="364"/>
        <v>9.7149000000000019</v>
      </c>
      <c r="Q1530" s="7">
        <f t="shared" si="365"/>
        <v>43.998641304347835</v>
      </c>
      <c r="R1530" s="2">
        <v>1.2</v>
      </c>
      <c r="S1530" s="2">
        <f t="shared" si="358"/>
        <v>4.45</v>
      </c>
      <c r="T1530" s="2"/>
      <c r="U1530" s="2"/>
      <c r="Y1530" s="8">
        <f t="shared" si="359"/>
        <v>1.5663516304347829</v>
      </c>
    </row>
    <row r="1531" spans="1:25" x14ac:dyDescent="0.25">
      <c r="A1531" s="34">
        <f t="shared" ref="A1531:B1546" si="373">A1530+1</f>
        <v>1523</v>
      </c>
      <c r="B1531" s="35">
        <f t="shared" si="373"/>
        <v>119</v>
      </c>
      <c r="C1531" s="50" t="s">
        <v>398</v>
      </c>
      <c r="D1531" s="51">
        <v>53</v>
      </c>
      <c r="E1531" s="51"/>
      <c r="F1531" s="36">
        <f ca="1">SUM(F1531:F1531)</f>
        <v>0.17632999999999999</v>
      </c>
      <c r="G1531" s="36">
        <f ca="1">SUM(G1531:G1531)</f>
        <v>3.4737009999999999E-2</v>
      </c>
      <c r="H1531" s="36">
        <v>1.7239999999999998E-2</v>
      </c>
      <c r="I1531" s="37">
        <f ca="1">SUM(I1531:I1531)</f>
        <v>2.5866000000000001E-3</v>
      </c>
      <c r="J1531" s="32">
        <f t="shared" si="357"/>
        <v>3.8358999999999997E-2</v>
      </c>
      <c r="K1531" s="33">
        <f t="shared" si="360"/>
        <v>5.7538499999999996E-3</v>
      </c>
      <c r="L1531" s="52"/>
      <c r="O1531" s="2">
        <f t="shared" si="363"/>
        <v>7.1833333333333332E-3</v>
      </c>
      <c r="P1531" s="2">
        <f t="shared" si="364"/>
        <v>5.1719999999999997</v>
      </c>
      <c r="Q1531" s="7">
        <f t="shared" si="365"/>
        <v>23.423913043478262</v>
      </c>
      <c r="R1531" s="2">
        <v>1.2</v>
      </c>
      <c r="S1531" s="2">
        <f t="shared" si="358"/>
        <v>4.45</v>
      </c>
      <c r="T1531" s="2"/>
      <c r="U1531" s="2"/>
      <c r="Y1531" s="8">
        <f t="shared" si="359"/>
        <v>0.83389130434782599</v>
      </c>
    </row>
    <row r="1532" spans="1:25" x14ac:dyDescent="0.25">
      <c r="A1532" s="34">
        <f t="shared" si="373"/>
        <v>1524</v>
      </c>
      <c r="B1532" s="35">
        <f t="shared" si="373"/>
        <v>120</v>
      </c>
      <c r="C1532" s="50" t="s">
        <v>398</v>
      </c>
      <c r="D1532" s="51" t="s">
        <v>76</v>
      </c>
      <c r="E1532" s="51"/>
      <c r="F1532" s="36">
        <v>0.10388</v>
      </c>
      <c r="G1532" s="36">
        <f>F1532*0.197</f>
        <v>2.0464360000000001E-2</v>
      </c>
      <c r="H1532" s="36">
        <v>2.6499999999999999E-2</v>
      </c>
      <c r="I1532" s="37">
        <f>H1532*0.15</f>
        <v>3.9749999999999994E-3</v>
      </c>
      <c r="J1532" s="32">
        <f t="shared" si="357"/>
        <v>5.8962500000000001E-2</v>
      </c>
      <c r="K1532" s="33">
        <f t="shared" si="360"/>
        <v>8.8443749999999998E-3</v>
      </c>
      <c r="L1532" s="24" t="s">
        <v>16</v>
      </c>
      <c r="O1532" s="2">
        <f t="shared" si="363"/>
        <v>1.1041666666666667E-2</v>
      </c>
      <c r="P1532" s="2">
        <f t="shared" si="364"/>
        <v>7.95</v>
      </c>
      <c r="Q1532" s="7">
        <f t="shared" si="365"/>
        <v>36.005434782608695</v>
      </c>
      <c r="R1532" s="2">
        <v>1.2</v>
      </c>
      <c r="S1532" s="2">
        <f t="shared" si="358"/>
        <v>4.45</v>
      </c>
      <c r="T1532" s="2"/>
      <c r="U1532" s="2"/>
      <c r="Y1532" s="8">
        <f t="shared" si="359"/>
        <v>1.2817934782608695</v>
      </c>
    </row>
    <row r="1533" spans="1:25" x14ac:dyDescent="0.25">
      <c r="A1533" s="34">
        <f t="shared" si="373"/>
        <v>1525</v>
      </c>
      <c r="B1533" s="35">
        <f t="shared" si="373"/>
        <v>121</v>
      </c>
      <c r="C1533" s="50" t="s">
        <v>398</v>
      </c>
      <c r="D1533" s="51">
        <v>72</v>
      </c>
      <c r="E1533" s="51"/>
      <c r="F1533" s="36">
        <v>0.14186000000000001</v>
      </c>
      <c r="G1533" s="36">
        <f>F1533*0.197</f>
        <v>2.7946420000000003E-2</v>
      </c>
      <c r="H1533" s="36">
        <v>4.931E-2</v>
      </c>
      <c r="I1533" s="37">
        <f>H1533*0.15</f>
        <v>7.3964999999999994E-3</v>
      </c>
      <c r="J1533" s="32">
        <f t="shared" si="357"/>
        <v>0.10971475</v>
      </c>
      <c r="K1533" s="33">
        <f t="shared" si="360"/>
        <v>1.6457212499999999E-2</v>
      </c>
      <c r="L1533" s="52"/>
      <c r="O1533" s="2">
        <f t="shared" si="363"/>
        <v>2.0545833333333333E-2</v>
      </c>
      <c r="P1533" s="2">
        <f t="shared" si="364"/>
        <v>14.792999999999999</v>
      </c>
      <c r="Q1533" s="7">
        <f t="shared" si="365"/>
        <v>66.997282608695656</v>
      </c>
      <c r="R1533" s="2">
        <v>1.2</v>
      </c>
      <c r="S1533" s="2">
        <f t="shared" si="358"/>
        <v>4.45</v>
      </c>
      <c r="T1533" s="2"/>
      <c r="U1533" s="2"/>
      <c r="Y1533" s="8">
        <f t="shared" si="359"/>
        <v>2.385103260869565</v>
      </c>
    </row>
    <row r="1534" spans="1:25" x14ac:dyDescent="0.25">
      <c r="A1534" s="34">
        <f t="shared" si="373"/>
        <v>1526</v>
      </c>
      <c r="B1534" s="35">
        <f t="shared" si="373"/>
        <v>122</v>
      </c>
      <c r="C1534" s="50" t="s">
        <v>399</v>
      </c>
      <c r="D1534" s="51">
        <v>10</v>
      </c>
      <c r="E1534" s="51"/>
      <c r="F1534" s="36">
        <f ca="1">SUM(F1534:F1534)</f>
        <v>0.30925000000000002</v>
      </c>
      <c r="G1534" s="36">
        <f ca="1">SUM(G1534:G1534)</f>
        <v>6.0922250000000004E-2</v>
      </c>
      <c r="H1534" s="36">
        <v>0.12806999999999999</v>
      </c>
      <c r="I1534" s="37">
        <f ca="1">SUM(I1534:I1534)</f>
        <v>1.9210499999999998E-2</v>
      </c>
      <c r="J1534" s="32">
        <f t="shared" si="357"/>
        <v>0.23692949999999999</v>
      </c>
      <c r="K1534" s="33">
        <f t="shared" si="360"/>
        <v>3.5539424999999999E-2</v>
      </c>
      <c r="L1534" s="52"/>
      <c r="O1534" s="2">
        <f t="shared" si="363"/>
        <v>5.33625E-2</v>
      </c>
      <c r="P1534" s="2">
        <f t="shared" si="364"/>
        <v>38.420999999999999</v>
      </c>
      <c r="Q1534" s="7">
        <f t="shared" si="365"/>
        <v>174.00815217391303</v>
      </c>
      <c r="R1534" s="2">
        <v>1.2</v>
      </c>
      <c r="S1534" s="2">
        <f t="shared" si="358"/>
        <v>3.7</v>
      </c>
      <c r="T1534" s="2"/>
      <c r="U1534" s="2"/>
      <c r="Y1534" s="8">
        <f t="shared" si="359"/>
        <v>5.1506413043478254</v>
      </c>
    </row>
    <row r="1535" spans="1:25" x14ac:dyDescent="0.25">
      <c r="A1535" s="34">
        <f t="shared" si="373"/>
        <v>1527</v>
      </c>
      <c r="B1535" s="35">
        <f t="shared" si="373"/>
        <v>123</v>
      </c>
      <c r="C1535" s="50" t="s">
        <v>399</v>
      </c>
      <c r="D1535" s="51">
        <v>12</v>
      </c>
      <c r="E1535" s="51"/>
      <c r="F1535" s="36">
        <v>0.216359</v>
      </c>
      <c r="G1535" s="36">
        <f>F1535*0.197</f>
        <v>4.2622723000000001E-2</v>
      </c>
      <c r="H1535" s="36">
        <v>9.4944000000000001E-2</v>
      </c>
      <c r="I1535" s="37">
        <f>H1535*0.15</f>
        <v>1.42416E-2</v>
      </c>
      <c r="J1535" s="32">
        <f t="shared" si="357"/>
        <v>0.21125040000000003</v>
      </c>
      <c r="K1535" s="33">
        <f t="shared" si="360"/>
        <v>3.1687560000000004E-2</v>
      </c>
      <c r="L1535" s="52"/>
      <c r="O1535" s="2">
        <f t="shared" si="363"/>
        <v>3.9560000000000005E-2</v>
      </c>
      <c r="P1535" s="2">
        <f t="shared" si="364"/>
        <v>28.483200000000004</v>
      </c>
      <c r="Q1535" s="7">
        <f t="shared" si="365"/>
        <v>129.00000000000003</v>
      </c>
      <c r="R1535" s="2">
        <v>1.2</v>
      </c>
      <c r="S1535" s="2">
        <f t="shared" si="358"/>
        <v>4.45</v>
      </c>
      <c r="T1535" s="2"/>
      <c r="U1535" s="2"/>
      <c r="Y1535" s="8">
        <f t="shared" si="359"/>
        <v>4.5924000000000005</v>
      </c>
    </row>
    <row r="1536" spans="1:25" x14ac:dyDescent="0.25">
      <c r="A1536" s="34">
        <f t="shared" si="373"/>
        <v>1528</v>
      </c>
      <c r="B1536" s="35">
        <f t="shared" si="373"/>
        <v>124</v>
      </c>
      <c r="C1536" s="50" t="s">
        <v>399</v>
      </c>
      <c r="D1536" s="51">
        <v>13</v>
      </c>
      <c r="E1536" s="51"/>
      <c r="F1536" s="36">
        <f ca="1">SUM(F1536:F1536)</f>
        <v>0.29868</v>
      </c>
      <c r="G1536" s="36">
        <f ca="1">SUM(G1536:G1536)</f>
        <v>5.8839959999999997E-2</v>
      </c>
      <c r="H1536" s="36">
        <v>0.12814999999999999</v>
      </c>
      <c r="I1536" s="37">
        <f ca="1">SUM(I1536:I1536)</f>
        <v>1.92225E-2</v>
      </c>
      <c r="J1536" s="32">
        <f t="shared" si="357"/>
        <v>0.2370775</v>
      </c>
      <c r="K1536" s="33">
        <f t="shared" si="360"/>
        <v>3.5561624999999999E-2</v>
      </c>
      <c r="L1536" s="52"/>
      <c r="O1536" s="2">
        <f t="shared" si="363"/>
        <v>5.339583333333333E-2</v>
      </c>
      <c r="P1536" s="2">
        <f t="shared" si="364"/>
        <v>38.444999999999993</v>
      </c>
      <c r="Q1536" s="7">
        <f t="shared" si="365"/>
        <v>174.11684782608694</v>
      </c>
      <c r="R1536" s="2">
        <v>1.2</v>
      </c>
      <c r="S1536" s="2">
        <f t="shared" si="358"/>
        <v>3.7</v>
      </c>
      <c r="T1536" s="2"/>
      <c r="U1536" s="2"/>
      <c r="Y1536" s="8">
        <f t="shared" si="359"/>
        <v>5.1538586956521737</v>
      </c>
    </row>
    <row r="1537" spans="1:25" x14ac:dyDescent="0.25">
      <c r="A1537" s="34">
        <f t="shared" si="373"/>
        <v>1529</v>
      </c>
      <c r="B1537" s="35">
        <f t="shared" si="373"/>
        <v>125</v>
      </c>
      <c r="C1537" s="50" t="s">
        <v>399</v>
      </c>
      <c r="D1537" s="51">
        <v>15</v>
      </c>
      <c r="E1537" s="51"/>
      <c r="F1537" s="36">
        <v>0.14729</v>
      </c>
      <c r="G1537" s="36">
        <f t="shared" ref="G1537:G1544" si="374">F1537*0.197</f>
        <v>2.9016130000000001E-2</v>
      </c>
      <c r="H1537" s="36">
        <v>6.182E-2</v>
      </c>
      <c r="I1537" s="37">
        <f t="shared" ref="I1537:I1544" si="375">H1537*0.15</f>
        <v>9.273E-3</v>
      </c>
      <c r="J1537" s="32">
        <f t="shared" si="357"/>
        <v>0.13754950000000002</v>
      </c>
      <c r="K1537" s="33">
        <f t="shared" si="360"/>
        <v>2.0632425000000003E-2</v>
      </c>
      <c r="L1537" s="52"/>
      <c r="O1537" s="2">
        <f t="shared" si="363"/>
        <v>2.5758333333333334E-2</v>
      </c>
      <c r="P1537" s="2">
        <f t="shared" si="364"/>
        <v>18.546000000000003</v>
      </c>
      <c r="Q1537" s="7">
        <f t="shared" si="365"/>
        <v>83.994565217391326</v>
      </c>
      <c r="R1537" s="2">
        <v>1.2</v>
      </c>
      <c r="S1537" s="2">
        <f t="shared" si="358"/>
        <v>4.45</v>
      </c>
      <c r="T1537" s="2"/>
      <c r="U1537" s="2"/>
      <c r="Y1537" s="8">
        <f t="shared" si="359"/>
        <v>2.9902065217391307</v>
      </c>
    </row>
    <row r="1538" spans="1:25" x14ac:dyDescent="0.25">
      <c r="A1538" s="34">
        <f t="shared" si="373"/>
        <v>1530</v>
      </c>
      <c r="B1538" s="35">
        <f t="shared" si="373"/>
        <v>126</v>
      </c>
      <c r="C1538" s="50" t="s">
        <v>399</v>
      </c>
      <c r="D1538" s="51">
        <v>37</v>
      </c>
      <c r="E1538" s="51"/>
      <c r="F1538" s="36">
        <v>0.14868999999999999</v>
      </c>
      <c r="G1538" s="36">
        <f t="shared" si="374"/>
        <v>2.9291930000000001E-2</v>
      </c>
      <c r="H1538" s="36">
        <v>7.3599999999999999E-2</v>
      </c>
      <c r="I1538" s="37">
        <f t="shared" si="375"/>
        <v>1.1039999999999999E-2</v>
      </c>
      <c r="J1538" s="32">
        <f t="shared" si="357"/>
        <v>0.16376000000000002</v>
      </c>
      <c r="K1538" s="33">
        <f t="shared" si="360"/>
        <v>2.4564000000000002E-2</v>
      </c>
      <c r="L1538" s="52"/>
      <c r="O1538" s="2">
        <f t="shared" si="363"/>
        <v>3.0666666666666668E-2</v>
      </c>
      <c r="P1538" s="2">
        <f t="shared" si="364"/>
        <v>22.08</v>
      </c>
      <c r="Q1538" s="7">
        <f t="shared" si="365"/>
        <v>100</v>
      </c>
      <c r="R1538" s="2">
        <v>1.2</v>
      </c>
      <c r="S1538" s="2">
        <f t="shared" si="358"/>
        <v>4.45</v>
      </c>
      <c r="T1538" s="2"/>
      <c r="U1538" s="2"/>
      <c r="Y1538" s="8">
        <f t="shared" si="359"/>
        <v>3.56</v>
      </c>
    </row>
    <row r="1539" spans="1:25" x14ac:dyDescent="0.25">
      <c r="A1539" s="34">
        <f t="shared" si="373"/>
        <v>1531</v>
      </c>
      <c r="B1539" s="35">
        <f t="shared" si="373"/>
        <v>127</v>
      </c>
      <c r="C1539" s="50" t="s">
        <v>399</v>
      </c>
      <c r="D1539" s="51">
        <v>56</v>
      </c>
      <c r="E1539" s="51"/>
      <c r="F1539" s="36">
        <v>0.14668999999999999</v>
      </c>
      <c r="G1539" s="36">
        <f t="shared" si="374"/>
        <v>2.8897929999999999E-2</v>
      </c>
      <c r="H1539" s="36">
        <v>7.7280000000000001E-2</v>
      </c>
      <c r="I1539" s="37">
        <f t="shared" si="375"/>
        <v>1.1592E-2</v>
      </c>
      <c r="J1539" s="32">
        <f t="shared" si="357"/>
        <v>0.17194800000000002</v>
      </c>
      <c r="K1539" s="33">
        <f t="shared" si="360"/>
        <v>2.5792200000000001E-2</v>
      </c>
      <c r="L1539" s="52"/>
      <c r="O1539" s="2">
        <f t="shared" si="363"/>
        <v>3.2199999999999999E-2</v>
      </c>
      <c r="P1539" s="2">
        <f t="shared" si="364"/>
        <v>23.183999999999997</v>
      </c>
      <c r="Q1539" s="7">
        <f t="shared" si="365"/>
        <v>104.99999999999999</v>
      </c>
      <c r="R1539" s="2">
        <v>1.2</v>
      </c>
      <c r="S1539" s="2">
        <f t="shared" si="358"/>
        <v>4.45</v>
      </c>
      <c r="T1539" s="2"/>
      <c r="U1539" s="2"/>
      <c r="Y1539" s="8">
        <f t="shared" si="359"/>
        <v>3.7380000000000004</v>
      </c>
    </row>
    <row r="1540" spans="1:25" x14ac:dyDescent="0.25">
      <c r="A1540" s="34">
        <f t="shared" si="373"/>
        <v>1532</v>
      </c>
      <c r="B1540" s="35">
        <f t="shared" si="373"/>
        <v>128</v>
      </c>
      <c r="C1540" s="50" t="s">
        <v>399</v>
      </c>
      <c r="D1540" s="51">
        <v>65</v>
      </c>
      <c r="E1540" s="51"/>
      <c r="F1540" s="36">
        <v>0.14249000000000001</v>
      </c>
      <c r="G1540" s="36">
        <f t="shared" si="374"/>
        <v>2.8070530000000003E-2</v>
      </c>
      <c r="H1540" s="36">
        <v>6.9180000000000005E-2</v>
      </c>
      <c r="I1540" s="37">
        <f t="shared" si="375"/>
        <v>1.0377000000000001E-2</v>
      </c>
      <c r="J1540" s="32">
        <f t="shared" si="357"/>
        <v>0.15392550000000002</v>
      </c>
      <c r="K1540" s="33">
        <f t="shared" si="360"/>
        <v>2.3088825000000004E-2</v>
      </c>
      <c r="L1540" s="52"/>
      <c r="O1540" s="2">
        <f t="shared" si="363"/>
        <v>2.8825000000000003E-2</v>
      </c>
      <c r="P1540" s="2">
        <f t="shared" si="364"/>
        <v>20.754000000000001</v>
      </c>
      <c r="Q1540" s="7">
        <f t="shared" si="365"/>
        <v>93.994565217391312</v>
      </c>
      <c r="R1540" s="2">
        <v>1.2</v>
      </c>
      <c r="S1540" s="2">
        <f t="shared" si="358"/>
        <v>4.45</v>
      </c>
      <c r="T1540" s="2"/>
      <c r="U1540" s="2"/>
      <c r="Y1540" s="8">
        <f t="shared" si="359"/>
        <v>3.346206521739131</v>
      </c>
    </row>
    <row r="1541" spans="1:25" x14ac:dyDescent="0.25">
      <c r="A1541" s="34">
        <f t="shared" si="373"/>
        <v>1533</v>
      </c>
      <c r="B1541" s="35">
        <f t="shared" si="373"/>
        <v>129</v>
      </c>
      <c r="C1541" s="50" t="s">
        <v>399</v>
      </c>
      <c r="D1541" s="51" t="s">
        <v>400</v>
      </c>
      <c r="E1541" s="51"/>
      <c r="F1541" s="36">
        <v>3.1690000000000003E-2</v>
      </c>
      <c r="G1541" s="36">
        <f t="shared" si="374"/>
        <v>6.2429300000000007E-3</v>
      </c>
      <c r="H1541" s="36">
        <v>1.472E-2</v>
      </c>
      <c r="I1541" s="37">
        <f t="shared" si="375"/>
        <v>2.2079999999999999E-3</v>
      </c>
      <c r="J1541" s="32">
        <f t="shared" si="357"/>
        <v>3.2752000000000003E-2</v>
      </c>
      <c r="K1541" s="33">
        <f t="shared" si="360"/>
        <v>4.9128000000000002E-3</v>
      </c>
      <c r="L1541" s="52"/>
      <c r="O1541" s="2">
        <f t="shared" si="363"/>
        <v>6.1333333333333335E-3</v>
      </c>
      <c r="P1541" s="2">
        <f t="shared" si="364"/>
        <v>4.4160000000000004</v>
      </c>
      <c r="Q1541" s="7">
        <f t="shared" si="365"/>
        <v>20.000000000000004</v>
      </c>
      <c r="R1541" s="2">
        <v>1.2</v>
      </c>
      <c r="S1541" s="2">
        <f t="shared" si="358"/>
        <v>4.45</v>
      </c>
      <c r="T1541" s="2"/>
      <c r="U1541" s="2"/>
      <c r="Y1541" s="8">
        <f t="shared" si="359"/>
        <v>0.71200000000000008</v>
      </c>
    </row>
    <row r="1542" spans="1:25" x14ac:dyDescent="0.25">
      <c r="A1542" s="34">
        <f t="shared" si="373"/>
        <v>1534</v>
      </c>
      <c r="B1542" s="35">
        <f t="shared" si="373"/>
        <v>130</v>
      </c>
      <c r="C1542" s="50" t="s">
        <v>399</v>
      </c>
      <c r="D1542" s="51">
        <v>67</v>
      </c>
      <c r="E1542" s="51"/>
      <c r="F1542" s="36">
        <v>3.8519999999999999E-2</v>
      </c>
      <c r="G1542" s="36">
        <f t="shared" si="374"/>
        <v>7.5884400000000001E-3</v>
      </c>
      <c r="H1542" s="36">
        <v>1.6930000000000001E-2</v>
      </c>
      <c r="I1542" s="37">
        <f t="shared" si="375"/>
        <v>2.5395000000000001E-3</v>
      </c>
      <c r="J1542" s="32">
        <f t="shared" si="357"/>
        <v>3.7669250000000001E-2</v>
      </c>
      <c r="K1542" s="33">
        <f t="shared" si="360"/>
        <v>5.6503875000000004E-3</v>
      </c>
      <c r="L1542" s="52"/>
      <c r="O1542" s="2">
        <f t="shared" si="363"/>
        <v>7.0541666666666669E-3</v>
      </c>
      <c r="P1542" s="2">
        <f t="shared" si="364"/>
        <v>5.0790000000000006</v>
      </c>
      <c r="Q1542" s="7">
        <f t="shared" si="365"/>
        <v>23.002717391304351</v>
      </c>
      <c r="R1542" s="2">
        <v>1.2</v>
      </c>
      <c r="S1542" s="2">
        <f t="shared" si="358"/>
        <v>4.45</v>
      </c>
      <c r="T1542" s="2"/>
      <c r="U1542" s="2"/>
      <c r="Y1542" s="8">
        <f t="shared" si="359"/>
        <v>0.81889673913043481</v>
      </c>
    </row>
    <row r="1543" spans="1:25" x14ac:dyDescent="0.25">
      <c r="A1543" s="34">
        <f t="shared" si="373"/>
        <v>1535</v>
      </c>
      <c r="B1543" s="35">
        <f t="shared" si="373"/>
        <v>131</v>
      </c>
      <c r="C1543" s="50" t="s">
        <v>399</v>
      </c>
      <c r="D1543" s="51">
        <v>69</v>
      </c>
      <c r="E1543" s="51"/>
      <c r="F1543" s="36">
        <v>0.13167499999999999</v>
      </c>
      <c r="G1543" s="36">
        <f t="shared" si="374"/>
        <v>2.5939974999999997E-2</v>
      </c>
      <c r="H1543" s="36">
        <v>6.2590000000000007E-2</v>
      </c>
      <c r="I1543" s="37">
        <f t="shared" si="375"/>
        <v>9.388500000000001E-3</v>
      </c>
      <c r="J1543" s="32">
        <f t="shared" si="357"/>
        <v>0.13926275000000002</v>
      </c>
      <c r="K1543" s="33">
        <f t="shared" si="360"/>
        <v>2.0889412500000003E-2</v>
      </c>
      <c r="L1543" s="52"/>
      <c r="O1543" s="2">
        <f t="shared" si="363"/>
        <v>2.6079166666666671E-2</v>
      </c>
      <c r="P1543" s="2">
        <f t="shared" si="364"/>
        <v>18.777000000000005</v>
      </c>
      <c r="Q1543" s="7">
        <f t="shared" si="365"/>
        <v>85.040760869565233</v>
      </c>
      <c r="R1543" s="2">
        <v>1.2</v>
      </c>
      <c r="S1543" s="2">
        <f t="shared" si="358"/>
        <v>4.45</v>
      </c>
      <c r="T1543" s="2"/>
      <c r="U1543" s="2"/>
      <c r="Y1543" s="8">
        <f t="shared" si="359"/>
        <v>3.0274510869565221</v>
      </c>
    </row>
    <row r="1544" spans="1:25" x14ac:dyDescent="0.25">
      <c r="A1544" s="34">
        <f t="shared" si="373"/>
        <v>1536</v>
      </c>
      <c r="B1544" s="35">
        <f t="shared" si="373"/>
        <v>132</v>
      </c>
      <c r="C1544" s="50" t="s">
        <v>401</v>
      </c>
      <c r="D1544" s="51">
        <v>173</v>
      </c>
      <c r="E1544" s="51"/>
      <c r="F1544" s="36">
        <v>9.3229999999999993E-2</v>
      </c>
      <c r="G1544" s="36">
        <f t="shared" si="374"/>
        <v>1.836631E-2</v>
      </c>
      <c r="H1544" s="36">
        <v>3.9170000000000003E-2</v>
      </c>
      <c r="I1544" s="37">
        <f t="shared" si="375"/>
        <v>5.8755000000000005E-3</v>
      </c>
      <c r="J1544" s="32">
        <f t="shared" si="357"/>
        <v>8.7153250000000015E-2</v>
      </c>
      <c r="K1544" s="33">
        <f t="shared" si="360"/>
        <v>1.3072987500000003E-2</v>
      </c>
      <c r="L1544" s="24" t="s">
        <v>16</v>
      </c>
      <c r="O1544" s="2">
        <f t="shared" si="363"/>
        <v>1.6320833333333336E-2</v>
      </c>
      <c r="P1544" s="2">
        <f t="shared" si="364"/>
        <v>11.751000000000001</v>
      </c>
      <c r="Q1544" s="7">
        <f t="shared" si="365"/>
        <v>53.220108695652179</v>
      </c>
      <c r="R1544" s="2">
        <v>1.2</v>
      </c>
      <c r="S1544" s="2">
        <f t="shared" si="358"/>
        <v>4.45</v>
      </c>
      <c r="T1544" s="2"/>
      <c r="U1544" s="2"/>
      <c r="Y1544" s="8">
        <f t="shared" si="359"/>
        <v>1.8946358695652177</v>
      </c>
    </row>
    <row r="1545" spans="1:25" x14ac:dyDescent="0.25">
      <c r="A1545" s="34">
        <f t="shared" si="373"/>
        <v>1537</v>
      </c>
      <c r="B1545" s="35">
        <f t="shared" si="373"/>
        <v>133</v>
      </c>
      <c r="C1545" s="50" t="s">
        <v>401</v>
      </c>
      <c r="D1545" s="51">
        <v>175</v>
      </c>
      <c r="E1545" s="51"/>
      <c r="F1545" s="36">
        <f ca="1">SUM(F1545:F1545)</f>
        <v>0.17099</v>
      </c>
      <c r="G1545" s="36">
        <f ca="1">SUM(G1545:G1545)</f>
        <v>3.3685030000000005E-2</v>
      </c>
      <c r="H1545" s="36">
        <v>6.8729999999999999E-2</v>
      </c>
      <c r="I1545" s="37">
        <f ca="1">SUM(I1545:I1545)</f>
        <v>1.0309499999999999E-2</v>
      </c>
      <c r="J1545" s="32">
        <f t="shared" ref="J1545:J1608" si="376">O1545*R1545*S1545</f>
        <v>0.15292425000000001</v>
      </c>
      <c r="K1545" s="33">
        <f t="shared" si="360"/>
        <v>2.2938637500000001E-2</v>
      </c>
      <c r="L1545" s="52"/>
      <c r="O1545" s="2">
        <f t="shared" si="363"/>
        <v>2.86375E-2</v>
      </c>
      <c r="P1545" s="2">
        <f t="shared" si="364"/>
        <v>20.619</v>
      </c>
      <c r="Q1545" s="7">
        <f t="shared" si="365"/>
        <v>93.383152173913047</v>
      </c>
      <c r="R1545" s="2">
        <v>1.2</v>
      </c>
      <c r="S1545" s="2">
        <f t="shared" ref="S1545:S1608" si="377">IF(Q1545&lt;=$AE$6,$AF$6,IF(Q1545&lt;=$AE$7,$AF$7,IF(Q1545&lt;=$AE$8,$AF$8,IF(Q1545&lt;=$AE$9,$AF$9,IF(Q1545&lt;=$AE$10,$AF$10,0)))))</f>
        <v>4.45</v>
      </c>
      <c r="T1545" s="2"/>
      <c r="U1545" s="2"/>
      <c r="Y1545" s="8">
        <f t="shared" ref="Y1545:Y1608" si="378">J1545/46*1000</f>
        <v>3.3244402173913046</v>
      </c>
    </row>
    <row r="1546" spans="1:25" x14ac:dyDescent="0.25">
      <c r="A1546" s="34">
        <f t="shared" si="373"/>
        <v>1538</v>
      </c>
      <c r="B1546" s="35">
        <f t="shared" si="373"/>
        <v>134</v>
      </c>
      <c r="C1546" s="50" t="s">
        <v>401</v>
      </c>
      <c r="D1546" s="51">
        <v>185</v>
      </c>
      <c r="E1546" s="51"/>
      <c r="F1546" s="36">
        <v>0.121513</v>
      </c>
      <c r="G1546" s="36">
        <f>F1546*0.197</f>
        <v>2.3938061E-2</v>
      </c>
      <c r="H1546" s="36">
        <v>2.5021999999999999E-2</v>
      </c>
      <c r="I1546" s="37">
        <f>H1546*0.15</f>
        <v>3.7532999999999998E-3</v>
      </c>
      <c r="J1546" s="32">
        <f t="shared" si="376"/>
        <v>5.567395E-2</v>
      </c>
      <c r="K1546" s="33">
        <f t="shared" ref="K1546:K1609" si="379">J1546*0.15</f>
        <v>8.3510924999999989E-3</v>
      </c>
      <c r="L1546" s="52"/>
      <c r="O1546" s="2">
        <f t="shared" si="363"/>
        <v>1.0425833333333334E-2</v>
      </c>
      <c r="P1546" s="2">
        <f t="shared" si="364"/>
        <v>7.5065999999999997</v>
      </c>
      <c r="Q1546" s="7">
        <f t="shared" si="365"/>
        <v>33.997282608695649</v>
      </c>
      <c r="R1546" s="2">
        <v>1.2</v>
      </c>
      <c r="S1546" s="2">
        <f t="shared" si="377"/>
        <v>4.45</v>
      </c>
      <c r="T1546" s="2"/>
      <c r="U1546" s="2"/>
      <c r="Y1546" s="8">
        <f t="shared" si="378"/>
        <v>1.2103032608695652</v>
      </c>
    </row>
    <row r="1547" spans="1:25" x14ac:dyDescent="0.25">
      <c r="A1547" s="34">
        <f t="shared" ref="A1547:B1562" si="380">A1546+1</f>
        <v>1539</v>
      </c>
      <c r="B1547" s="35">
        <f t="shared" si="380"/>
        <v>135</v>
      </c>
      <c r="C1547" s="50" t="s">
        <v>401</v>
      </c>
      <c r="D1547" s="51">
        <v>187</v>
      </c>
      <c r="E1547" s="51"/>
      <c r="F1547" s="36">
        <f ca="1">SUM(F1547:F1547)</f>
        <v>0.1832</v>
      </c>
      <c r="G1547" s="36">
        <f ca="1">SUM(G1547:G1547)</f>
        <v>3.6090400000000002E-2</v>
      </c>
      <c r="H1547" s="36">
        <v>3.3450000000000001E-2</v>
      </c>
      <c r="I1547" s="37">
        <f ca="1">SUM(I1547:I1547)</f>
        <v>5.0168999999999995E-3</v>
      </c>
      <c r="J1547" s="32">
        <f t="shared" si="376"/>
        <v>7.4426249999999999E-2</v>
      </c>
      <c r="K1547" s="33">
        <f t="shared" si="379"/>
        <v>1.11639375E-2</v>
      </c>
      <c r="L1547" s="52"/>
      <c r="O1547" s="2">
        <f t="shared" ref="O1547:O1610" si="381">H1547/2.4</f>
        <v>1.39375E-2</v>
      </c>
      <c r="P1547" s="2">
        <f t="shared" ref="P1547:P1610" si="382">O1547*24*30</f>
        <v>10.035</v>
      </c>
      <c r="Q1547" s="7">
        <f t="shared" ref="Q1547:Q1610" si="383">P1547/0.2208</f>
        <v>45.448369565217391</v>
      </c>
      <c r="R1547" s="2">
        <v>1.2</v>
      </c>
      <c r="S1547" s="2">
        <f t="shared" si="377"/>
        <v>4.45</v>
      </c>
      <c r="T1547" s="2"/>
      <c r="U1547" s="2"/>
      <c r="Y1547" s="8">
        <f t="shared" si="378"/>
        <v>1.6179619565217391</v>
      </c>
    </row>
    <row r="1548" spans="1:25" x14ac:dyDescent="0.25">
      <c r="A1548" s="34">
        <f t="shared" si="380"/>
        <v>1540</v>
      </c>
      <c r="B1548" s="35">
        <f t="shared" si="380"/>
        <v>136</v>
      </c>
      <c r="C1548" s="50" t="s">
        <v>401</v>
      </c>
      <c r="D1548" s="51">
        <v>191</v>
      </c>
      <c r="E1548" s="51"/>
      <c r="F1548" s="36">
        <v>0.12881000000000001</v>
      </c>
      <c r="G1548" s="36">
        <f t="shared" ref="G1548:G1553" si="384">F1548*0.197</f>
        <v>2.5375570000000004E-2</v>
      </c>
      <c r="H1548" s="36">
        <v>8.7679999999999994E-2</v>
      </c>
      <c r="I1548" s="37">
        <f t="shared" ref="I1548:I1553" si="385">H1548*0.15</f>
        <v>1.3151999999999999E-2</v>
      </c>
      <c r="J1548" s="32">
        <f t="shared" si="376"/>
        <v>0.19508799999999998</v>
      </c>
      <c r="K1548" s="33">
        <f t="shared" si="379"/>
        <v>2.9263199999999996E-2</v>
      </c>
      <c r="L1548" s="52"/>
      <c r="O1548" s="2">
        <f t="shared" si="381"/>
        <v>3.6533333333333334E-2</v>
      </c>
      <c r="P1548" s="2">
        <f t="shared" si="382"/>
        <v>26.304000000000002</v>
      </c>
      <c r="Q1548" s="7">
        <f t="shared" si="383"/>
        <v>119.1304347826087</v>
      </c>
      <c r="R1548" s="2">
        <v>1.2</v>
      </c>
      <c r="S1548" s="2">
        <f t="shared" si="377"/>
        <v>4.45</v>
      </c>
      <c r="T1548" s="2"/>
      <c r="U1548" s="2"/>
      <c r="Y1548" s="8">
        <f t="shared" si="378"/>
        <v>4.2410434782608695</v>
      </c>
    </row>
    <row r="1549" spans="1:25" x14ac:dyDescent="0.25">
      <c r="A1549" s="34">
        <f t="shared" si="380"/>
        <v>1541</v>
      </c>
      <c r="B1549" s="35">
        <f t="shared" si="380"/>
        <v>137</v>
      </c>
      <c r="C1549" s="50" t="s">
        <v>401</v>
      </c>
      <c r="D1549" s="51">
        <v>194</v>
      </c>
      <c r="E1549" s="51"/>
      <c r="F1549" s="36">
        <v>4.0599999999999997E-2</v>
      </c>
      <c r="G1549" s="36">
        <f t="shared" si="384"/>
        <v>7.9982000000000004E-3</v>
      </c>
      <c r="H1549" s="36">
        <v>6.62E-3</v>
      </c>
      <c r="I1549" s="37">
        <f t="shared" si="385"/>
        <v>9.9299999999999996E-4</v>
      </c>
      <c r="J1549" s="32">
        <f t="shared" si="376"/>
        <v>1.4729500000000001E-2</v>
      </c>
      <c r="K1549" s="33">
        <f t="shared" si="379"/>
        <v>2.2094250000000001E-3</v>
      </c>
      <c r="L1549" s="24" t="s">
        <v>16</v>
      </c>
      <c r="O1549" s="2">
        <f t="shared" si="381"/>
        <v>2.7583333333333336E-3</v>
      </c>
      <c r="P1549" s="2">
        <f t="shared" si="382"/>
        <v>1.9860000000000002</v>
      </c>
      <c r="Q1549" s="7">
        <f t="shared" si="383"/>
        <v>8.9945652173913047</v>
      </c>
      <c r="R1549" s="2">
        <v>1.2</v>
      </c>
      <c r="S1549" s="2">
        <f t="shared" si="377"/>
        <v>4.45</v>
      </c>
      <c r="T1549" s="2"/>
      <c r="U1549" s="2"/>
      <c r="Y1549" s="8">
        <f t="shared" si="378"/>
        <v>0.3202065217391305</v>
      </c>
    </row>
    <row r="1550" spans="1:25" x14ac:dyDescent="0.25">
      <c r="A1550" s="34">
        <f t="shared" si="380"/>
        <v>1542</v>
      </c>
      <c r="B1550" s="35">
        <f t="shared" si="380"/>
        <v>138</v>
      </c>
      <c r="C1550" s="50" t="s">
        <v>401</v>
      </c>
      <c r="D1550" s="51">
        <v>198</v>
      </c>
      <c r="E1550" s="51"/>
      <c r="F1550" s="36">
        <v>4.2680000000000003E-2</v>
      </c>
      <c r="G1550" s="36">
        <f t="shared" si="384"/>
        <v>8.4079600000000008E-3</v>
      </c>
      <c r="H1550" s="36">
        <v>1.7250000000000001E-2</v>
      </c>
      <c r="I1550" s="37">
        <f t="shared" si="385"/>
        <v>2.5875E-3</v>
      </c>
      <c r="J1550" s="32">
        <f t="shared" si="376"/>
        <v>3.8381250000000006E-2</v>
      </c>
      <c r="K1550" s="33">
        <f t="shared" si="379"/>
        <v>5.757187500000001E-3</v>
      </c>
      <c r="L1550" s="24" t="s">
        <v>16</v>
      </c>
      <c r="O1550" s="2">
        <f t="shared" si="381"/>
        <v>7.1875000000000012E-3</v>
      </c>
      <c r="P1550" s="2">
        <f t="shared" si="382"/>
        <v>5.1750000000000016</v>
      </c>
      <c r="Q1550" s="7">
        <f t="shared" si="383"/>
        <v>23.437500000000007</v>
      </c>
      <c r="R1550" s="2">
        <v>1.2</v>
      </c>
      <c r="S1550" s="2">
        <f t="shared" si="377"/>
        <v>4.45</v>
      </c>
      <c r="T1550" s="2"/>
      <c r="U1550" s="2"/>
      <c r="Y1550" s="8">
        <f t="shared" si="378"/>
        <v>0.8343750000000002</v>
      </c>
    </row>
    <row r="1551" spans="1:25" x14ac:dyDescent="0.25">
      <c r="A1551" s="34">
        <f t="shared" si="380"/>
        <v>1543</v>
      </c>
      <c r="B1551" s="35">
        <f t="shared" si="380"/>
        <v>139</v>
      </c>
      <c r="C1551" s="50" t="s">
        <v>401</v>
      </c>
      <c r="D1551" s="51">
        <v>200</v>
      </c>
      <c r="E1551" s="51"/>
      <c r="F1551" s="36">
        <v>0.13444999999999999</v>
      </c>
      <c r="G1551" s="36">
        <f t="shared" si="384"/>
        <v>2.6486649999999997E-2</v>
      </c>
      <c r="H1551" s="36">
        <v>5.7599999999999998E-2</v>
      </c>
      <c r="I1551" s="37">
        <f t="shared" si="385"/>
        <v>8.6400000000000001E-3</v>
      </c>
      <c r="J1551" s="32">
        <f t="shared" si="376"/>
        <v>0.12816</v>
      </c>
      <c r="K1551" s="33">
        <f t="shared" si="379"/>
        <v>1.9223999999999998E-2</v>
      </c>
      <c r="L1551" s="52"/>
      <c r="O1551" s="2">
        <f t="shared" si="381"/>
        <v>2.4E-2</v>
      </c>
      <c r="P1551" s="2">
        <f t="shared" si="382"/>
        <v>17.28</v>
      </c>
      <c r="Q1551" s="7">
        <f t="shared" si="383"/>
        <v>78.260869565217391</v>
      </c>
      <c r="R1551" s="2">
        <v>1.2</v>
      </c>
      <c r="S1551" s="2">
        <f t="shared" si="377"/>
        <v>4.45</v>
      </c>
      <c r="T1551" s="2"/>
      <c r="U1551" s="2"/>
      <c r="Y1551" s="8">
        <f t="shared" si="378"/>
        <v>2.7860869565217392</v>
      </c>
    </row>
    <row r="1552" spans="1:25" x14ac:dyDescent="0.25">
      <c r="A1552" s="34">
        <f t="shared" si="380"/>
        <v>1544</v>
      </c>
      <c r="B1552" s="35">
        <f t="shared" si="380"/>
        <v>140</v>
      </c>
      <c r="C1552" s="50" t="s">
        <v>401</v>
      </c>
      <c r="D1552" s="51">
        <v>203</v>
      </c>
      <c r="E1552" s="51"/>
      <c r="F1552" s="36">
        <v>6.096E-2</v>
      </c>
      <c r="G1552" s="36">
        <f t="shared" si="384"/>
        <v>1.200912E-2</v>
      </c>
      <c r="H1552" s="36">
        <v>9.5700000000000004E-3</v>
      </c>
      <c r="I1552" s="37">
        <f t="shared" si="385"/>
        <v>1.4354999999999999E-3</v>
      </c>
      <c r="J1552" s="32">
        <f t="shared" si="376"/>
        <v>2.1293250000000003E-2</v>
      </c>
      <c r="K1552" s="33">
        <f t="shared" si="379"/>
        <v>3.1939875000000003E-3</v>
      </c>
      <c r="L1552" s="24" t="s">
        <v>16</v>
      </c>
      <c r="O1552" s="2">
        <f t="shared" si="381"/>
        <v>3.9875000000000006E-3</v>
      </c>
      <c r="P1552" s="2">
        <f t="shared" si="382"/>
        <v>2.8710000000000004</v>
      </c>
      <c r="Q1552" s="7">
        <f t="shared" si="383"/>
        <v>13.002717391304349</v>
      </c>
      <c r="R1552" s="2">
        <v>1.2</v>
      </c>
      <c r="S1552" s="2">
        <f t="shared" si="377"/>
        <v>4.45</v>
      </c>
      <c r="T1552" s="2"/>
      <c r="U1552" s="2"/>
      <c r="Y1552" s="8">
        <f t="shared" si="378"/>
        <v>0.46289673913043483</v>
      </c>
    </row>
    <row r="1553" spans="1:25" x14ac:dyDescent="0.25">
      <c r="A1553" s="34">
        <f t="shared" si="380"/>
        <v>1545</v>
      </c>
      <c r="B1553" s="35">
        <f t="shared" si="380"/>
        <v>141</v>
      </c>
      <c r="C1553" s="50" t="s">
        <v>401</v>
      </c>
      <c r="D1553" s="51">
        <v>208</v>
      </c>
      <c r="E1553" s="51"/>
      <c r="F1553" s="36">
        <v>0.11236</v>
      </c>
      <c r="G1553" s="36">
        <f t="shared" si="384"/>
        <v>2.2134920000000002E-2</v>
      </c>
      <c r="H1553" s="36">
        <v>2.666E-2</v>
      </c>
      <c r="I1553" s="37">
        <f t="shared" si="385"/>
        <v>3.999E-3</v>
      </c>
      <c r="J1553" s="32">
        <f t="shared" si="376"/>
        <v>5.9318500000000003E-2</v>
      </c>
      <c r="K1553" s="33">
        <f t="shared" si="379"/>
        <v>8.8977750000000001E-3</v>
      </c>
      <c r="L1553" s="24" t="s">
        <v>16</v>
      </c>
      <c r="O1553" s="2">
        <f t="shared" si="381"/>
        <v>1.1108333333333333E-2</v>
      </c>
      <c r="P1553" s="2">
        <f t="shared" si="382"/>
        <v>7.9980000000000002</v>
      </c>
      <c r="Q1553" s="7">
        <f t="shared" si="383"/>
        <v>36.222826086956523</v>
      </c>
      <c r="R1553" s="2">
        <v>1.2</v>
      </c>
      <c r="S1553" s="2">
        <f t="shared" si="377"/>
        <v>4.45</v>
      </c>
      <c r="T1553" s="2"/>
      <c r="U1553" s="2"/>
      <c r="Y1553" s="8">
        <f t="shared" si="378"/>
        <v>1.2895326086956522</v>
      </c>
    </row>
    <row r="1554" spans="1:25" x14ac:dyDescent="0.25">
      <c r="A1554" s="34">
        <f t="shared" si="380"/>
        <v>1546</v>
      </c>
      <c r="B1554" s="35">
        <f t="shared" si="380"/>
        <v>142</v>
      </c>
      <c r="C1554" s="50" t="s">
        <v>401</v>
      </c>
      <c r="D1554" s="51">
        <v>210</v>
      </c>
      <c r="E1554" s="51"/>
      <c r="F1554" s="36">
        <f t="shared" ref="F1554:I1555" ca="1" si="386">SUM(F1554:F1554)</f>
        <v>5.2049999999999999E-2</v>
      </c>
      <c r="G1554" s="36">
        <f t="shared" ca="1" si="386"/>
        <v>1.025385E-2</v>
      </c>
      <c r="H1554" s="36">
        <v>7.3800000000000003E-3</v>
      </c>
      <c r="I1554" s="37">
        <f t="shared" ca="1" si="386"/>
        <v>1.1069999999999999E-3</v>
      </c>
      <c r="J1554" s="32">
        <f t="shared" si="376"/>
        <v>1.6420500000000001E-2</v>
      </c>
      <c r="K1554" s="33">
        <f t="shared" si="379"/>
        <v>2.4630749999999999E-3</v>
      </c>
      <c r="L1554" s="24" t="s">
        <v>16</v>
      </c>
      <c r="O1554" s="2">
        <f t="shared" si="381"/>
        <v>3.075E-3</v>
      </c>
      <c r="P1554" s="2">
        <f t="shared" si="382"/>
        <v>2.214</v>
      </c>
      <c r="Q1554" s="7">
        <f t="shared" si="383"/>
        <v>10.027173913043478</v>
      </c>
      <c r="R1554" s="2">
        <v>1.2</v>
      </c>
      <c r="S1554" s="2">
        <f t="shared" si="377"/>
        <v>4.45</v>
      </c>
      <c r="T1554" s="2"/>
      <c r="U1554" s="2"/>
      <c r="Y1554" s="8">
        <f t="shared" si="378"/>
        <v>0.35696739130434785</v>
      </c>
    </row>
    <row r="1555" spans="1:25" x14ac:dyDescent="0.25">
      <c r="A1555" s="34">
        <f t="shared" si="380"/>
        <v>1547</v>
      </c>
      <c r="B1555" s="35">
        <f t="shared" si="380"/>
        <v>143</v>
      </c>
      <c r="C1555" s="50" t="s">
        <v>401</v>
      </c>
      <c r="D1555" s="51">
        <v>211</v>
      </c>
      <c r="E1555" s="51"/>
      <c r="F1555" s="36">
        <f t="shared" ca="1" si="386"/>
        <v>0.18382000000000001</v>
      </c>
      <c r="G1555" s="36">
        <f t="shared" ca="1" si="386"/>
        <v>3.6212540000000001E-2</v>
      </c>
      <c r="H1555" s="36">
        <v>5.0189999999999999E-2</v>
      </c>
      <c r="I1555" s="37">
        <f t="shared" ca="1" si="386"/>
        <v>7.5288000000000004E-3</v>
      </c>
      <c r="J1555" s="32">
        <f t="shared" si="376"/>
        <v>0.11167275</v>
      </c>
      <c r="K1555" s="33">
        <f t="shared" si="379"/>
        <v>1.6750912499999999E-2</v>
      </c>
      <c r="L1555" s="52"/>
      <c r="O1555" s="2">
        <f t="shared" si="381"/>
        <v>2.0912500000000001E-2</v>
      </c>
      <c r="P1555" s="2">
        <f t="shared" si="382"/>
        <v>15.057</v>
      </c>
      <c r="Q1555" s="7">
        <f t="shared" si="383"/>
        <v>68.192934782608702</v>
      </c>
      <c r="R1555" s="2">
        <v>1.2</v>
      </c>
      <c r="S1555" s="2">
        <f t="shared" si="377"/>
        <v>4.45</v>
      </c>
      <c r="T1555" s="2"/>
      <c r="U1555" s="2"/>
      <c r="Y1555" s="8">
        <f t="shared" si="378"/>
        <v>2.4276684782608697</v>
      </c>
    </row>
    <row r="1556" spans="1:25" x14ac:dyDescent="0.25">
      <c r="A1556" s="34">
        <f t="shared" si="380"/>
        <v>1548</v>
      </c>
      <c r="B1556" s="35">
        <f t="shared" si="380"/>
        <v>144</v>
      </c>
      <c r="C1556" s="50" t="s">
        <v>401</v>
      </c>
      <c r="D1556" s="51">
        <v>212</v>
      </c>
      <c r="E1556" s="51"/>
      <c r="F1556" s="36">
        <v>3.508E-2</v>
      </c>
      <c r="G1556" s="36">
        <f t="shared" ref="G1556:G1568" si="387">F1556*0.197</f>
        <v>6.9107600000000002E-3</v>
      </c>
      <c r="H1556" s="36">
        <v>5.1500000000000001E-3</v>
      </c>
      <c r="I1556" s="37">
        <f t="shared" ref="I1556:I1568" si="388">H1556*0.15</f>
        <v>7.7249999999999997E-4</v>
      </c>
      <c r="J1556" s="32">
        <f t="shared" si="376"/>
        <v>1.145875E-2</v>
      </c>
      <c r="K1556" s="33">
        <f t="shared" si="379"/>
        <v>1.7188125000000001E-3</v>
      </c>
      <c r="L1556" s="24" t="s">
        <v>16</v>
      </c>
      <c r="O1556" s="2">
        <f t="shared" si="381"/>
        <v>2.1458333333333334E-3</v>
      </c>
      <c r="P1556" s="2">
        <f t="shared" si="382"/>
        <v>1.5450000000000002</v>
      </c>
      <c r="Q1556" s="7">
        <f t="shared" si="383"/>
        <v>6.9972826086956532</v>
      </c>
      <c r="R1556" s="2">
        <v>1.2</v>
      </c>
      <c r="S1556" s="2">
        <f t="shared" si="377"/>
        <v>4.45</v>
      </c>
      <c r="T1556" s="2"/>
      <c r="U1556" s="2"/>
      <c r="Y1556" s="8">
        <f t="shared" si="378"/>
        <v>0.24910326086956525</v>
      </c>
    </row>
    <row r="1557" spans="1:25" x14ac:dyDescent="0.25">
      <c r="A1557" s="34">
        <f t="shared" si="380"/>
        <v>1549</v>
      </c>
      <c r="B1557" s="35">
        <f t="shared" si="380"/>
        <v>145</v>
      </c>
      <c r="C1557" s="50" t="s">
        <v>401</v>
      </c>
      <c r="D1557" s="51">
        <v>213</v>
      </c>
      <c r="E1557" s="51"/>
      <c r="F1557" s="36">
        <v>0.12736</v>
      </c>
      <c r="G1557" s="36">
        <f t="shared" si="387"/>
        <v>2.5089920000000002E-2</v>
      </c>
      <c r="H1557" s="36">
        <v>8.2460000000000006E-2</v>
      </c>
      <c r="I1557" s="37">
        <f t="shared" si="388"/>
        <v>1.2369E-2</v>
      </c>
      <c r="J1557" s="32">
        <f t="shared" si="376"/>
        <v>0.18347350000000001</v>
      </c>
      <c r="K1557" s="33">
        <f t="shared" si="379"/>
        <v>2.7521025000000001E-2</v>
      </c>
      <c r="L1557" s="52"/>
      <c r="O1557" s="2">
        <f t="shared" si="381"/>
        <v>3.4358333333333338E-2</v>
      </c>
      <c r="P1557" s="2">
        <f t="shared" si="382"/>
        <v>24.738000000000003</v>
      </c>
      <c r="Q1557" s="7">
        <f t="shared" si="383"/>
        <v>112.03804347826089</v>
      </c>
      <c r="R1557" s="2">
        <v>1.2</v>
      </c>
      <c r="S1557" s="2">
        <f t="shared" si="377"/>
        <v>4.45</v>
      </c>
      <c r="T1557" s="2"/>
      <c r="U1557" s="2"/>
      <c r="Y1557" s="8">
        <f t="shared" si="378"/>
        <v>3.9885543478260876</v>
      </c>
    </row>
    <row r="1558" spans="1:25" x14ac:dyDescent="0.25">
      <c r="A1558" s="34">
        <f t="shared" si="380"/>
        <v>1550</v>
      </c>
      <c r="B1558" s="35">
        <f t="shared" si="380"/>
        <v>146</v>
      </c>
      <c r="C1558" s="50" t="s">
        <v>401</v>
      </c>
      <c r="D1558" s="51">
        <v>214</v>
      </c>
      <c r="E1558" s="51"/>
      <c r="F1558" s="36">
        <v>0.11928999999999999</v>
      </c>
      <c r="G1558" s="36">
        <f t="shared" si="387"/>
        <v>2.3500130000000001E-2</v>
      </c>
      <c r="H1558" s="36">
        <v>2.9440000000000001E-2</v>
      </c>
      <c r="I1558" s="37">
        <f t="shared" si="388"/>
        <v>4.4159999999999998E-3</v>
      </c>
      <c r="J1558" s="32">
        <f t="shared" si="376"/>
        <v>6.5504000000000007E-2</v>
      </c>
      <c r="K1558" s="33">
        <f t="shared" si="379"/>
        <v>9.8256000000000003E-3</v>
      </c>
      <c r="L1558" s="52"/>
      <c r="O1558" s="2">
        <f t="shared" si="381"/>
        <v>1.2266666666666667E-2</v>
      </c>
      <c r="P1558" s="2">
        <f t="shared" si="382"/>
        <v>8.8320000000000007</v>
      </c>
      <c r="Q1558" s="7">
        <f t="shared" si="383"/>
        <v>40.000000000000007</v>
      </c>
      <c r="R1558" s="2">
        <v>1.2</v>
      </c>
      <c r="S1558" s="2">
        <f t="shared" si="377"/>
        <v>4.45</v>
      </c>
      <c r="T1558" s="2"/>
      <c r="U1558" s="2"/>
      <c r="Y1558" s="8">
        <f t="shared" si="378"/>
        <v>1.4240000000000002</v>
      </c>
    </row>
    <row r="1559" spans="1:25" x14ac:dyDescent="0.25">
      <c r="A1559" s="34">
        <f t="shared" si="380"/>
        <v>1551</v>
      </c>
      <c r="B1559" s="35">
        <f t="shared" si="380"/>
        <v>147</v>
      </c>
      <c r="C1559" s="50" t="s">
        <v>401</v>
      </c>
      <c r="D1559" s="51">
        <v>215</v>
      </c>
      <c r="E1559" s="51"/>
      <c r="F1559" s="36">
        <v>6.6869999999999999E-2</v>
      </c>
      <c r="G1559" s="36">
        <f t="shared" si="387"/>
        <v>1.317339E-2</v>
      </c>
      <c r="H1559" s="36">
        <v>3.091E-2</v>
      </c>
      <c r="I1559" s="37">
        <f t="shared" si="388"/>
        <v>4.6365E-3</v>
      </c>
      <c r="J1559" s="32">
        <f t="shared" si="376"/>
        <v>6.8774750000000009E-2</v>
      </c>
      <c r="K1559" s="33">
        <f t="shared" si="379"/>
        <v>1.0316212500000001E-2</v>
      </c>
      <c r="L1559" s="52"/>
      <c r="O1559" s="2">
        <f t="shared" si="381"/>
        <v>1.2879166666666667E-2</v>
      </c>
      <c r="P1559" s="2">
        <f t="shared" si="382"/>
        <v>9.2730000000000015</v>
      </c>
      <c r="Q1559" s="7">
        <f t="shared" si="383"/>
        <v>41.997282608695663</v>
      </c>
      <c r="R1559" s="2">
        <v>1.2</v>
      </c>
      <c r="S1559" s="2">
        <f t="shared" si="377"/>
        <v>4.45</v>
      </c>
      <c r="T1559" s="2"/>
      <c r="U1559" s="2"/>
      <c r="Y1559" s="8">
        <f t="shared" si="378"/>
        <v>1.4951032608695654</v>
      </c>
    </row>
    <row r="1560" spans="1:25" x14ac:dyDescent="0.25">
      <c r="A1560" s="34">
        <f t="shared" si="380"/>
        <v>1552</v>
      </c>
      <c r="B1560" s="35">
        <f t="shared" si="380"/>
        <v>148</v>
      </c>
      <c r="C1560" s="50" t="s">
        <v>401</v>
      </c>
      <c r="D1560" s="51">
        <v>216</v>
      </c>
      <c r="E1560" s="51"/>
      <c r="F1560" s="36">
        <v>5.849E-2</v>
      </c>
      <c r="G1560" s="36">
        <f t="shared" si="387"/>
        <v>1.1522530000000001E-2</v>
      </c>
      <c r="H1560" s="36">
        <v>2.9919999999999999E-2</v>
      </c>
      <c r="I1560" s="37">
        <f t="shared" si="388"/>
        <v>4.4879999999999998E-3</v>
      </c>
      <c r="J1560" s="32">
        <f t="shared" si="376"/>
        <v>6.6571999999999992E-2</v>
      </c>
      <c r="K1560" s="33">
        <f t="shared" si="379"/>
        <v>9.9857999999999978E-3</v>
      </c>
      <c r="L1560" s="24" t="s">
        <v>16</v>
      </c>
      <c r="O1560" s="2">
        <f t="shared" si="381"/>
        <v>1.2466666666666666E-2</v>
      </c>
      <c r="P1560" s="2">
        <f t="shared" si="382"/>
        <v>8.9759999999999991</v>
      </c>
      <c r="Q1560" s="7">
        <f t="shared" si="383"/>
        <v>40.652173913043477</v>
      </c>
      <c r="R1560" s="2">
        <v>1.2</v>
      </c>
      <c r="S1560" s="2">
        <f t="shared" si="377"/>
        <v>4.45</v>
      </c>
      <c r="T1560" s="2"/>
      <c r="U1560" s="2"/>
      <c r="Y1560" s="8">
        <f t="shared" si="378"/>
        <v>1.4472173913043476</v>
      </c>
    </row>
    <row r="1561" spans="1:25" x14ac:dyDescent="0.25">
      <c r="A1561" s="34">
        <f t="shared" si="380"/>
        <v>1553</v>
      </c>
      <c r="B1561" s="35">
        <f t="shared" si="380"/>
        <v>149</v>
      </c>
      <c r="C1561" s="50" t="s">
        <v>401</v>
      </c>
      <c r="D1561" s="51">
        <v>226</v>
      </c>
      <c r="E1561" s="51"/>
      <c r="F1561" s="36">
        <v>3.739E-2</v>
      </c>
      <c r="G1561" s="36">
        <f t="shared" si="387"/>
        <v>7.3658300000000003E-3</v>
      </c>
      <c r="H1561" s="36">
        <v>5.1500000000000001E-3</v>
      </c>
      <c r="I1561" s="37">
        <f t="shared" si="388"/>
        <v>7.7249999999999997E-4</v>
      </c>
      <c r="J1561" s="32">
        <f t="shared" si="376"/>
        <v>1.145875E-2</v>
      </c>
      <c r="K1561" s="33">
        <f t="shared" si="379"/>
        <v>1.7188125000000001E-3</v>
      </c>
      <c r="L1561" s="52"/>
      <c r="O1561" s="2">
        <f t="shared" si="381"/>
        <v>2.1458333333333334E-3</v>
      </c>
      <c r="P1561" s="2">
        <f t="shared" si="382"/>
        <v>1.5450000000000002</v>
      </c>
      <c r="Q1561" s="7">
        <f t="shared" si="383"/>
        <v>6.9972826086956532</v>
      </c>
      <c r="R1561" s="2">
        <v>1.2</v>
      </c>
      <c r="S1561" s="2">
        <f t="shared" si="377"/>
        <v>4.45</v>
      </c>
      <c r="T1561" s="2"/>
      <c r="U1561" s="2"/>
      <c r="Y1561" s="8">
        <f t="shared" si="378"/>
        <v>0.24910326086956525</v>
      </c>
    </row>
    <row r="1562" spans="1:25" x14ac:dyDescent="0.25">
      <c r="A1562" s="34">
        <f t="shared" si="380"/>
        <v>1554</v>
      </c>
      <c r="B1562" s="35">
        <f t="shared" si="380"/>
        <v>150</v>
      </c>
      <c r="C1562" s="50" t="s">
        <v>401</v>
      </c>
      <c r="D1562" s="51">
        <v>234</v>
      </c>
      <c r="E1562" s="51"/>
      <c r="F1562" s="36">
        <v>0.10977000000000001</v>
      </c>
      <c r="G1562" s="36">
        <f t="shared" si="387"/>
        <v>2.1624690000000002E-2</v>
      </c>
      <c r="H1562" s="36">
        <v>4.4929999999999998E-2</v>
      </c>
      <c r="I1562" s="37">
        <f t="shared" si="388"/>
        <v>6.7394999999999998E-3</v>
      </c>
      <c r="J1562" s="32">
        <f t="shared" si="376"/>
        <v>9.9969249999999996E-2</v>
      </c>
      <c r="K1562" s="33">
        <f t="shared" si="379"/>
        <v>1.4995387499999999E-2</v>
      </c>
      <c r="L1562" s="52"/>
      <c r="O1562" s="2">
        <f t="shared" si="381"/>
        <v>1.8720833333333332E-2</v>
      </c>
      <c r="P1562" s="2">
        <f t="shared" si="382"/>
        <v>13.478999999999999</v>
      </c>
      <c r="Q1562" s="7">
        <f t="shared" si="383"/>
        <v>61.046195652173914</v>
      </c>
      <c r="R1562" s="2">
        <v>1.2</v>
      </c>
      <c r="S1562" s="2">
        <f t="shared" si="377"/>
        <v>4.45</v>
      </c>
      <c r="T1562" s="2"/>
      <c r="U1562" s="2"/>
      <c r="Y1562" s="8">
        <f t="shared" si="378"/>
        <v>2.1732445652173911</v>
      </c>
    </row>
    <row r="1563" spans="1:25" x14ac:dyDescent="0.25">
      <c r="A1563" s="34">
        <f t="shared" ref="A1563:B1578" si="389">A1562+1</f>
        <v>1555</v>
      </c>
      <c r="B1563" s="35">
        <f t="shared" si="389"/>
        <v>151</v>
      </c>
      <c r="C1563" s="50" t="s">
        <v>401</v>
      </c>
      <c r="D1563" s="51">
        <v>236</v>
      </c>
      <c r="E1563" s="51"/>
      <c r="F1563" s="36">
        <v>0.12146999999999999</v>
      </c>
      <c r="G1563" s="36">
        <f t="shared" si="387"/>
        <v>2.3929590000000001E-2</v>
      </c>
      <c r="H1563" s="36">
        <v>5.5939999999999997E-2</v>
      </c>
      <c r="I1563" s="37">
        <f t="shared" si="388"/>
        <v>8.3909999999999992E-3</v>
      </c>
      <c r="J1563" s="32">
        <f t="shared" si="376"/>
        <v>0.12446649999999999</v>
      </c>
      <c r="K1563" s="33">
        <f t="shared" si="379"/>
        <v>1.8669974999999998E-2</v>
      </c>
      <c r="L1563" s="52"/>
      <c r="O1563" s="2">
        <f t="shared" si="381"/>
        <v>2.3308333333333334E-2</v>
      </c>
      <c r="P1563" s="2">
        <f t="shared" si="382"/>
        <v>16.782</v>
      </c>
      <c r="Q1563" s="7">
        <f t="shared" si="383"/>
        <v>76.005434782608702</v>
      </c>
      <c r="R1563" s="2">
        <v>1.2</v>
      </c>
      <c r="S1563" s="2">
        <f t="shared" si="377"/>
        <v>4.45</v>
      </c>
      <c r="T1563" s="2"/>
      <c r="U1563" s="2"/>
      <c r="Y1563" s="8">
        <f t="shared" si="378"/>
        <v>2.7057934782608695</v>
      </c>
    </row>
    <row r="1564" spans="1:25" x14ac:dyDescent="0.25">
      <c r="A1564" s="34">
        <f t="shared" si="389"/>
        <v>1556</v>
      </c>
      <c r="B1564" s="35">
        <f t="shared" si="389"/>
        <v>152</v>
      </c>
      <c r="C1564" s="50" t="s">
        <v>401</v>
      </c>
      <c r="D1564" s="51">
        <v>242</v>
      </c>
      <c r="E1564" s="51"/>
      <c r="F1564" s="36">
        <v>0.14932000000000001</v>
      </c>
      <c r="G1564" s="36">
        <f t="shared" si="387"/>
        <v>2.9416040000000004E-2</v>
      </c>
      <c r="H1564" s="36">
        <v>7.8017000000000003E-2</v>
      </c>
      <c r="I1564" s="37">
        <f t="shared" si="388"/>
        <v>1.1702550000000001E-2</v>
      </c>
      <c r="J1564" s="32">
        <f t="shared" si="376"/>
        <v>0.17358782500000006</v>
      </c>
      <c r="K1564" s="33">
        <f t="shared" si="379"/>
        <v>2.6038173750000008E-2</v>
      </c>
      <c r="L1564" s="52"/>
      <c r="O1564" s="2">
        <f t="shared" si="381"/>
        <v>3.2507083333333339E-2</v>
      </c>
      <c r="P1564" s="2">
        <f t="shared" si="382"/>
        <v>23.405100000000004</v>
      </c>
      <c r="Q1564" s="7">
        <f t="shared" si="383"/>
        <v>106.0013586956522</v>
      </c>
      <c r="R1564" s="2">
        <v>1.2</v>
      </c>
      <c r="S1564" s="2">
        <f t="shared" si="377"/>
        <v>4.45</v>
      </c>
      <c r="T1564" s="2"/>
      <c r="U1564" s="2"/>
      <c r="Y1564" s="8">
        <f t="shared" si="378"/>
        <v>3.773648369565219</v>
      </c>
    </row>
    <row r="1565" spans="1:25" x14ac:dyDescent="0.25">
      <c r="A1565" s="34">
        <f t="shared" si="389"/>
        <v>1557</v>
      </c>
      <c r="B1565" s="35">
        <f t="shared" si="389"/>
        <v>153</v>
      </c>
      <c r="C1565" s="50" t="s">
        <v>401</v>
      </c>
      <c r="D1565" s="51">
        <v>244</v>
      </c>
      <c r="E1565" s="51"/>
      <c r="F1565" s="36">
        <v>0.11226999999999999</v>
      </c>
      <c r="G1565" s="36">
        <f t="shared" si="387"/>
        <v>2.2117189999999998E-2</v>
      </c>
      <c r="H1565" s="36">
        <v>2.4289999999999999E-2</v>
      </c>
      <c r="I1565" s="37">
        <f t="shared" si="388"/>
        <v>3.6434999999999996E-3</v>
      </c>
      <c r="J1565" s="32">
        <f t="shared" si="376"/>
        <v>5.404525000000001E-2</v>
      </c>
      <c r="K1565" s="33">
        <f t="shared" si="379"/>
        <v>8.1067875000000005E-3</v>
      </c>
      <c r="L1565" s="52"/>
      <c r="O1565" s="2">
        <f t="shared" si="381"/>
        <v>1.0120833333333334E-2</v>
      </c>
      <c r="P1565" s="2">
        <f t="shared" si="382"/>
        <v>7.2869999999999999</v>
      </c>
      <c r="Q1565" s="7">
        <f t="shared" si="383"/>
        <v>33.002717391304351</v>
      </c>
      <c r="R1565" s="2">
        <v>1.2</v>
      </c>
      <c r="S1565" s="2">
        <f t="shared" si="377"/>
        <v>4.45</v>
      </c>
      <c r="T1565" s="2"/>
      <c r="U1565" s="2"/>
      <c r="Y1565" s="8">
        <f t="shared" si="378"/>
        <v>1.174896739130435</v>
      </c>
    </row>
    <row r="1566" spans="1:25" x14ac:dyDescent="0.25">
      <c r="A1566" s="34">
        <f t="shared" si="389"/>
        <v>1558</v>
      </c>
      <c r="B1566" s="35">
        <f t="shared" si="389"/>
        <v>154</v>
      </c>
      <c r="C1566" s="50" t="s">
        <v>401</v>
      </c>
      <c r="D1566" s="51">
        <v>245</v>
      </c>
      <c r="E1566" s="51">
        <v>1</v>
      </c>
      <c r="F1566" s="36">
        <v>8.1592650000000003E-2</v>
      </c>
      <c r="G1566" s="36">
        <f t="shared" si="387"/>
        <v>1.6073752050000001E-2</v>
      </c>
      <c r="H1566" s="36">
        <v>3.1045099999999999E-2</v>
      </c>
      <c r="I1566" s="37">
        <f t="shared" si="388"/>
        <v>4.6567649999999993E-3</v>
      </c>
      <c r="J1566" s="32">
        <f t="shared" si="376"/>
        <v>6.9075347499999995E-2</v>
      </c>
      <c r="K1566" s="33">
        <f t="shared" si="379"/>
        <v>1.0361302124999999E-2</v>
      </c>
      <c r="L1566" s="52"/>
      <c r="O1566" s="2">
        <f t="shared" si="381"/>
        <v>1.2935458333333334E-2</v>
      </c>
      <c r="P1566" s="2">
        <f t="shared" si="382"/>
        <v>9.3135300000000001</v>
      </c>
      <c r="Q1566" s="7">
        <f t="shared" si="383"/>
        <v>42.180842391304346</v>
      </c>
      <c r="R1566" s="2">
        <v>1.2</v>
      </c>
      <c r="S1566" s="2">
        <f t="shared" si="377"/>
        <v>4.45</v>
      </c>
      <c r="T1566" s="2"/>
      <c r="U1566" s="2"/>
      <c r="Y1566" s="8">
        <f t="shared" si="378"/>
        <v>1.5016379891304346</v>
      </c>
    </row>
    <row r="1567" spans="1:25" x14ac:dyDescent="0.25">
      <c r="A1567" s="34">
        <f t="shared" si="389"/>
        <v>1559</v>
      </c>
      <c r="B1567" s="35">
        <f t="shared" si="389"/>
        <v>155</v>
      </c>
      <c r="C1567" s="50" t="s">
        <v>401</v>
      </c>
      <c r="D1567" s="51">
        <v>245</v>
      </c>
      <c r="E1567" s="51">
        <v>2</v>
      </c>
      <c r="F1567" s="36">
        <v>8.0733780000000005E-2</v>
      </c>
      <c r="G1567" s="36">
        <f t="shared" si="387"/>
        <v>1.590455466E-2</v>
      </c>
      <c r="H1567" s="36">
        <v>3.0718200000000001E-2</v>
      </c>
      <c r="I1567" s="37">
        <f t="shared" si="388"/>
        <v>4.60773E-3</v>
      </c>
      <c r="J1567" s="32">
        <f t="shared" si="376"/>
        <v>6.8347995000000009E-2</v>
      </c>
      <c r="K1567" s="33">
        <f t="shared" si="379"/>
        <v>1.0252199250000002E-2</v>
      </c>
      <c r="L1567" s="52"/>
      <c r="O1567" s="2">
        <f t="shared" si="381"/>
        <v>1.2799250000000002E-2</v>
      </c>
      <c r="P1567" s="2">
        <f t="shared" si="382"/>
        <v>9.215460000000002</v>
      </c>
      <c r="Q1567" s="7">
        <f t="shared" si="383"/>
        <v>41.736684782608705</v>
      </c>
      <c r="R1567" s="2">
        <v>1.2</v>
      </c>
      <c r="S1567" s="2">
        <f t="shared" si="377"/>
        <v>4.45</v>
      </c>
      <c r="T1567" s="2"/>
      <c r="U1567" s="2"/>
      <c r="Y1567" s="8">
        <f t="shared" si="378"/>
        <v>1.4858259782608698</v>
      </c>
    </row>
    <row r="1568" spans="1:25" x14ac:dyDescent="0.25">
      <c r="A1568" s="34">
        <f t="shared" si="389"/>
        <v>1560</v>
      </c>
      <c r="B1568" s="35">
        <f t="shared" si="389"/>
        <v>156</v>
      </c>
      <c r="C1568" s="50" t="s">
        <v>401</v>
      </c>
      <c r="D1568" s="51">
        <v>245</v>
      </c>
      <c r="E1568" s="51">
        <v>3</v>
      </c>
      <c r="F1568" s="36">
        <v>0.12396357</v>
      </c>
      <c r="G1568" s="36">
        <f t="shared" si="387"/>
        <v>2.4420823290000001E-2</v>
      </c>
      <c r="H1568" s="36">
        <v>4.7166699999999999E-2</v>
      </c>
      <c r="I1568" s="37">
        <f t="shared" si="388"/>
        <v>7.0750049999999997E-3</v>
      </c>
      <c r="J1568" s="32">
        <f t="shared" si="376"/>
        <v>0.1049459075</v>
      </c>
      <c r="K1568" s="33">
        <f t="shared" si="379"/>
        <v>1.5741886125E-2</v>
      </c>
      <c r="L1568" s="52"/>
      <c r="O1568" s="2">
        <f t="shared" si="381"/>
        <v>1.9652791666666666E-2</v>
      </c>
      <c r="P1568" s="2">
        <f t="shared" si="382"/>
        <v>14.150009999999998</v>
      </c>
      <c r="Q1568" s="7">
        <f t="shared" si="383"/>
        <v>64.0851902173913</v>
      </c>
      <c r="R1568" s="2">
        <v>1.2</v>
      </c>
      <c r="S1568" s="2">
        <f t="shared" si="377"/>
        <v>4.45</v>
      </c>
      <c r="T1568" s="2"/>
      <c r="U1568" s="2"/>
      <c r="Y1568" s="8">
        <f t="shared" si="378"/>
        <v>2.2814327717391305</v>
      </c>
    </row>
    <row r="1569" spans="1:25" x14ac:dyDescent="0.25">
      <c r="A1569" s="34">
        <f t="shared" si="389"/>
        <v>1561</v>
      </c>
      <c r="B1569" s="35">
        <f t="shared" si="389"/>
        <v>157</v>
      </c>
      <c r="C1569" s="50" t="s">
        <v>401</v>
      </c>
      <c r="D1569" s="51">
        <v>247</v>
      </c>
      <c r="E1569" s="51"/>
      <c r="F1569" s="36">
        <f ca="1">SUM(F1569:F1569)</f>
        <v>0.18828999999999999</v>
      </c>
      <c r="G1569" s="36">
        <f ca="1">SUM(G1569:G1569)</f>
        <v>3.7093130000000002E-2</v>
      </c>
      <c r="H1569" s="36">
        <v>8.5980000000000001E-2</v>
      </c>
      <c r="I1569" s="37">
        <f ca="1">SUM(I1569:I1569)</f>
        <v>1.2897299999999999E-2</v>
      </c>
      <c r="J1569" s="32">
        <f t="shared" si="376"/>
        <v>0.19130550000000002</v>
      </c>
      <c r="K1569" s="33">
        <f t="shared" si="379"/>
        <v>2.8695825000000001E-2</v>
      </c>
      <c r="L1569" s="24" t="s">
        <v>16</v>
      </c>
      <c r="O1569" s="2">
        <f t="shared" si="381"/>
        <v>3.5825000000000003E-2</v>
      </c>
      <c r="P1569" s="2">
        <f t="shared" si="382"/>
        <v>25.794000000000004</v>
      </c>
      <c r="Q1569" s="7">
        <f t="shared" si="383"/>
        <v>116.82065217391306</v>
      </c>
      <c r="R1569" s="2">
        <v>1.2</v>
      </c>
      <c r="S1569" s="2">
        <f t="shared" si="377"/>
        <v>4.45</v>
      </c>
      <c r="T1569" s="2"/>
      <c r="U1569" s="2"/>
      <c r="Y1569" s="8">
        <f t="shared" si="378"/>
        <v>4.1588152173913047</v>
      </c>
    </row>
    <row r="1570" spans="1:25" x14ac:dyDescent="0.25">
      <c r="A1570" s="34">
        <f t="shared" si="389"/>
        <v>1562</v>
      </c>
      <c r="B1570" s="35">
        <f t="shared" si="389"/>
        <v>158</v>
      </c>
      <c r="C1570" s="50" t="s">
        <v>401</v>
      </c>
      <c r="D1570" s="51">
        <v>250</v>
      </c>
      <c r="E1570" s="51">
        <v>1</v>
      </c>
      <c r="F1570" s="36">
        <f ca="1">SUM(F1568:F1569)</f>
        <v>0.10972000000000001</v>
      </c>
      <c r="G1570" s="36">
        <f ca="1">SUM(G1568:G1569)</f>
        <v>2.1614840000000003E-2</v>
      </c>
      <c r="H1570" s="36">
        <v>0.11724</v>
      </c>
      <c r="I1570" s="37">
        <f ca="1">SUM(I1568:I1569)</f>
        <v>1.758585E-2</v>
      </c>
      <c r="J1570" s="32">
        <f t="shared" si="376"/>
        <v>0.21689399999999998</v>
      </c>
      <c r="K1570" s="33">
        <f t="shared" si="379"/>
        <v>3.2534099999999996E-2</v>
      </c>
      <c r="L1570" s="52"/>
      <c r="O1570" s="2">
        <f t="shared" si="381"/>
        <v>4.8849999999999998E-2</v>
      </c>
      <c r="P1570" s="2">
        <f t="shared" si="382"/>
        <v>35.171999999999997</v>
      </c>
      <c r="Q1570" s="7">
        <f t="shared" si="383"/>
        <v>159.29347826086956</v>
      </c>
      <c r="R1570" s="2">
        <v>1.2</v>
      </c>
      <c r="S1570" s="2">
        <f t="shared" si="377"/>
        <v>3.7</v>
      </c>
      <c r="T1570" s="2"/>
      <c r="U1570" s="2"/>
      <c r="Y1570" s="8">
        <f t="shared" si="378"/>
        <v>4.7150869565217386</v>
      </c>
    </row>
    <row r="1571" spans="1:25" x14ac:dyDescent="0.25">
      <c r="A1571" s="34">
        <f t="shared" si="389"/>
        <v>1563</v>
      </c>
      <c r="B1571" s="35">
        <f t="shared" si="389"/>
        <v>159</v>
      </c>
      <c r="C1571" s="50" t="s">
        <v>401</v>
      </c>
      <c r="D1571" s="51">
        <v>250</v>
      </c>
      <c r="E1571" s="51">
        <v>2</v>
      </c>
      <c r="F1571" s="36">
        <f ca="1">SUM(F1570:F1570)</f>
        <v>0.10972000000000001</v>
      </c>
      <c r="G1571" s="36">
        <f ca="1">SUM(G1570:G1570)</f>
        <v>2.1614840000000003E-2</v>
      </c>
      <c r="H1571" s="36">
        <v>0.11724</v>
      </c>
      <c r="I1571" s="37">
        <f ca="1">SUM(I1570:I1570)</f>
        <v>1.758585E-2</v>
      </c>
      <c r="J1571" s="32">
        <f t="shared" si="376"/>
        <v>0.21689399999999998</v>
      </c>
      <c r="K1571" s="33">
        <f t="shared" si="379"/>
        <v>3.2534099999999996E-2</v>
      </c>
      <c r="L1571" s="52"/>
      <c r="O1571" s="2">
        <f t="shared" si="381"/>
        <v>4.8849999999999998E-2</v>
      </c>
      <c r="P1571" s="2">
        <f t="shared" si="382"/>
        <v>35.171999999999997</v>
      </c>
      <c r="Q1571" s="7">
        <f t="shared" si="383"/>
        <v>159.29347826086956</v>
      </c>
      <c r="R1571" s="2">
        <v>1.2</v>
      </c>
      <c r="S1571" s="2">
        <f t="shared" si="377"/>
        <v>3.7</v>
      </c>
      <c r="T1571" s="2"/>
      <c r="U1571" s="2"/>
      <c r="Y1571" s="8">
        <f t="shared" si="378"/>
        <v>4.7150869565217386</v>
      </c>
    </row>
    <row r="1572" spans="1:25" x14ac:dyDescent="0.25">
      <c r="A1572" s="34">
        <f t="shared" si="389"/>
        <v>1564</v>
      </c>
      <c r="B1572" s="35">
        <f t="shared" si="389"/>
        <v>160</v>
      </c>
      <c r="C1572" s="50" t="s">
        <v>402</v>
      </c>
      <c r="D1572" s="51">
        <v>8</v>
      </c>
      <c r="E1572" s="51">
        <v>1</v>
      </c>
      <c r="F1572" s="36">
        <v>7.6179999999999998E-2</v>
      </c>
      <c r="G1572" s="36">
        <f>F1572*0.197</f>
        <v>1.500746E-2</v>
      </c>
      <c r="H1572" s="36">
        <v>4.5999999999999999E-2</v>
      </c>
      <c r="I1572" s="37">
        <f>H1572*0.15</f>
        <v>6.8999999999999999E-3</v>
      </c>
      <c r="J1572" s="32">
        <f t="shared" si="376"/>
        <v>0.10235000000000002</v>
      </c>
      <c r="K1572" s="33">
        <f t="shared" si="379"/>
        <v>1.5352500000000003E-2</v>
      </c>
      <c r="L1572" s="52"/>
      <c r="O1572" s="2">
        <f t="shared" si="381"/>
        <v>1.9166666666666669E-2</v>
      </c>
      <c r="P1572" s="2">
        <f t="shared" si="382"/>
        <v>13.800000000000002</v>
      </c>
      <c r="Q1572" s="7">
        <f t="shared" si="383"/>
        <v>62.500000000000014</v>
      </c>
      <c r="R1572" s="2">
        <v>1.2</v>
      </c>
      <c r="S1572" s="2">
        <f t="shared" si="377"/>
        <v>4.45</v>
      </c>
      <c r="T1572" s="2"/>
      <c r="U1572" s="2"/>
      <c r="Y1572" s="8">
        <f t="shared" si="378"/>
        <v>2.2250000000000005</v>
      </c>
    </row>
    <row r="1573" spans="1:25" x14ac:dyDescent="0.25">
      <c r="A1573" s="34">
        <f t="shared" si="389"/>
        <v>1565</v>
      </c>
      <c r="B1573" s="35">
        <f t="shared" si="389"/>
        <v>161</v>
      </c>
      <c r="C1573" s="50" t="s">
        <v>402</v>
      </c>
      <c r="D1573" s="51">
        <v>8</v>
      </c>
      <c r="E1573" s="51">
        <v>2</v>
      </c>
      <c r="F1573" s="36">
        <v>7.6179999999999998E-2</v>
      </c>
      <c r="G1573" s="36">
        <f>F1573*0.197</f>
        <v>1.500746E-2</v>
      </c>
      <c r="H1573" s="36">
        <v>4.5999999999999999E-2</v>
      </c>
      <c r="I1573" s="37">
        <f>H1573*0.15</f>
        <v>6.8999999999999999E-3</v>
      </c>
      <c r="J1573" s="32">
        <f t="shared" si="376"/>
        <v>0.10235000000000002</v>
      </c>
      <c r="K1573" s="33">
        <f t="shared" si="379"/>
        <v>1.5352500000000003E-2</v>
      </c>
      <c r="L1573" s="52"/>
      <c r="O1573" s="2">
        <f t="shared" si="381"/>
        <v>1.9166666666666669E-2</v>
      </c>
      <c r="P1573" s="2">
        <f t="shared" si="382"/>
        <v>13.800000000000002</v>
      </c>
      <c r="Q1573" s="7">
        <f t="shared" si="383"/>
        <v>62.500000000000014</v>
      </c>
      <c r="R1573" s="2">
        <v>1.2</v>
      </c>
      <c r="S1573" s="2">
        <f t="shared" si="377"/>
        <v>4.45</v>
      </c>
      <c r="T1573" s="2"/>
      <c r="U1573" s="2"/>
      <c r="Y1573" s="8">
        <f t="shared" si="378"/>
        <v>2.2250000000000005</v>
      </c>
    </row>
    <row r="1574" spans="1:25" x14ac:dyDescent="0.25">
      <c r="A1574" s="34">
        <f t="shared" si="389"/>
        <v>1566</v>
      </c>
      <c r="B1574" s="35">
        <f t="shared" si="389"/>
        <v>162</v>
      </c>
      <c r="C1574" s="50" t="s">
        <v>402</v>
      </c>
      <c r="D1574" s="51">
        <v>10</v>
      </c>
      <c r="E1574" s="51"/>
      <c r="F1574" s="36">
        <f ca="1">SUM(F1574:F1574)</f>
        <v>0.16631000000000001</v>
      </c>
      <c r="G1574" s="36">
        <f ca="1">SUM(G1574:G1574)</f>
        <v>3.2763070000000005E-2</v>
      </c>
      <c r="H1574" s="36">
        <v>7.0040000000000005E-2</v>
      </c>
      <c r="I1574" s="37">
        <f ca="1">SUM(I1574:I1574)</f>
        <v>1.0506150000000001E-2</v>
      </c>
      <c r="J1574" s="32">
        <f t="shared" si="376"/>
        <v>0.15583900000000001</v>
      </c>
      <c r="K1574" s="33">
        <f t="shared" si="379"/>
        <v>2.337585E-2</v>
      </c>
      <c r="L1574" s="52"/>
      <c r="O1574" s="2">
        <f t="shared" si="381"/>
        <v>2.9183333333333335E-2</v>
      </c>
      <c r="P1574" s="2">
        <f t="shared" si="382"/>
        <v>21.012</v>
      </c>
      <c r="Q1574" s="7">
        <f t="shared" si="383"/>
        <v>95.163043478260875</v>
      </c>
      <c r="R1574" s="2">
        <v>1.2</v>
      </c>
      <c r="S1574" s="2">
        <f t="shared" si="377"/>
        <v>4.45</v>
      </c>
      <c r="T1574" s="2"/>
      <c r="U1574" s="2"/>
      <c r="Y1574" s="8">
        <f t="shared" si="378"/>
        <v>3.3878043478260871</v>
      </c>
    </row>
    <row r="1575" spans="1:25" x14ac:dyDescent="0.25">
      <c r="A1575" s="34">
        <f t="shared" si="389"/>
        <v>1567</v>
      </c>
      <c r="B1575" s="35">
        <f t="shared" si="389"/>
        <v>163</v>
      </c>
      <c r="C1575" s="50" t="s">
        <v>402</v>
      </c>
      <c r="D1575" s="51">
        <v>35</v>
      </c>
      <c r="E1575" s="51"/>
      <c r="F1575" s="36">
        <v>0.15143999999999999</v>
      </c>
      <c r="G1575" s="36">
        <f>F1575*0.197</f>
        <v>2.9833679999999998E-2</v>
      </c>
      <c r="H1575" s="36">
        <v>8.4669999999999995E-2</v>
      </c>
      <c r="I1575" s="37">
        <f>H1575*0.15</f>
        <v>1.2700499999999998E-2</v>
      </c>
      <c r="J1575" s="32">
        <f t="shared" si="376"/>
        <v>0.18839075</v>
      </c>
      <c r="K1575" s="33">
        <f t="shared" si="379"/>
        <v>2.8258612499999999E-2</v>
      </c>
      <c r="L1575" s="52"/>
      <c r="O1575" s="2">
        <f t="shared" si="381"/>
        <v>3.5279166666666667E-2</v>
      </c>
      <c r="P1575" s="2">
        <f t="shared" si="382"/>
        <v>25.401</v>
      </c>
      <c r="Q1575" s="7">
        <f t="shared" si="383"/>
        <v>115.04076086956522</v>
      </c>
      <c r="R1575" s="2">
        <v>1.2</v>
      </c>
      <c r="S1575" s="2">
        <f t="shared" si="377"/>
        <v>4.45</v>
      </c>
      <c r="T1575" s="2"/>
      <c r="U1575" s="2"/>
      <c r="Y1575" s="8">
        <f t="shared" si="378"/>
        <v>4.0954510869565217</v>
      </c>
    </row>
    <row r="1576" spans="1:25" x14ac:dyDescent="0.25">
      <c r="A1576" s="34">
        <f t="shared" si="389"/>
        <v>1568</v>
      </c>
      <c r="B1576" s="35">
        <f t="shared" si="389"/>
        <v>164</v>
      </c>
      <c r="C1576" s="50" t="s">
        <v>402</v>
      </c>
      <c r="D1576" s="51">
        <v>41</v>
      </c>
      <c r="E1576" s="51"/>
      <c r="F1576" s="36">
        <f t="shared" ref="F1576:I1577" ca="1" si="390">SUM(F1576:F1576)</f>
        <v>0.15523000000000001</v>
      </c>
      <c r="G1576" s="36">
        <f t="shared" ca="1" si="390"/>
        <v>3.0580310000000003E-2</v>
      </c>
      <c r="H1576" s="36">
        <v>4.8099999999999997E-2</v>
      </c>
      <c r="I1576" s="37">
        <f t="shared" ca="1" si="390"/>
        <v>7.2150000000000001E-3</v>
      </c>
      <c r="J1576" s="32">
        <f t="shared" si="376"/>
        <v>0.10702249999999999</v>
      </c>
      <c r="K1576" s="33">
        <f t="shared" si="379"/>
        <v>1.6053374999999998E-2</v>
      </c>
      <c r="L1576" s="52"/>
      <c r="O1576" s="2">
        <f t="shared" si="381"/>
        <v>2.0041666666666666E-2</v>
      </c>
      <c r="P1576" s="2">
        <f t="shared" si="382"/>
        <v>14.43</v>
      </c>
      <c r="Q1576" s="7">
        <f t="shared" si="383"/>
        <v>65.353260869565219</v>
      </c>
      <c r="R1576" s="2">
        <v>1.2</v>
      </c>
      <c r="S1576" s="2">
        <f t="shared" si="377"/>
        <v>4.45</v>
      </c>
      <c r="T1576" s="2"/>
      <c r="U1576" s="2"/>
      <c r="Y1576" s="8">
        <f t="shared" si="378"/>
        <v>2.3265760869565217</v>
      </c>
    </row>
    <row r="1577" spans="1:25" x14ac:dyDescent="0.25">
      <c r="A1577" s="34">
        <f t="shared" si="389"/>
        <v>1569</v>
      </c>
      <c r="B1577" s="35">
        <f t="shared" si="389"/>
        <v>165</v>
      </c>
      <c r="C1577" s="50" t="s">
        <v>402</v>
      </c>
      <c r="D1577" s="51">
        <v>43</v>
      </c>
      <c r="E1577" s="51"/>
      <c r="F1577" s="36">
        <f t="shared" ca="1" si="390"/>
        <v>0.11738</v>
      </c>
      <c r="G1577" s="36">
        <f t="shared" ca="1" si="390"/>
        <v>2.312386E-2</v>
      </c>
      <c r="H1577" s="36">
        <v>5.2780000000000001E-2</v>
      </c>
      <c r="I1577" s="37">
        <f t="shared" ca="1" si="390"/>
        <v>7.9174500000000012E-3</v>
      </c>
      <c r="J1577" s="32">
        <f t="shared" si="376"/>
        <v>0.11743550000000001</v>
      </c>
      <c r="K1577" s="33">
        <f t="shared" si="379"/>
        <v>1.7615325000000001E-2</v>
      </c>
      <c r="L1577" s="52"/>
      <c r="O1577" s="2">
        <f t="shared" si="381"/>
        <v>2.1991666666666666E-2</v>
      </c>
      <c r="P1577" s="2">
        <f t="shared" si="382"/>
        <v>15.834000000000001</v>
      </c>
      <c r="Q1577" s="7">
        <f t="shared" si="383"/>
        <v>71.71195652173914</v>
      </c>
      <c r="R1577" s="2">
        <v>1.2</v>
      </c>
      <c r="S1577" s="2">
        <f t="shared" si="377"/>
        <v>4.45</v>
      </c>
      <c r="T1577" s="2"/>
      <c r="U1577" s="2"/>
      <c r="Y1577" s="8">
        <f t="shared" si="378"/>
        <v>2.5529456521739133</v>
      </c>
    </row>
    <row r="1578" spans="1:25" x14ac:dyDescent="0.25">
      <c r="A1578" s="34">
        <f t="shared" si="389"/>
        <v>1570</v>
      </c>
      <c r="B1578" s="35">
        <f t="shared" si="389"/>
        <v>166</v>
      </c>
      <c r="C1578" s="50" t="s">
        <v>402</v>
      </c>
      <c r="D1578" s="51">
        <v>47</v>
      </c>
      <c r="E1578" s="51"/>
      <c r="F1578" s="36">
        <v>0.15456</v>
      </c>
      <c r="G1578" s="36">
        <f t="shared" ref="G1578:G1585" si="391">F1578*0.197</f>
        <v>3.0448320000000001E-2</v>
      </c>
      <c r="H1578" s="36">
        <v>7.213E-2</v>
      </c>
      <c r="I1578" s="37">
        <f t="shared" ref="I1578:I1585" si="392">H1578*0.15</f>
        <v>1.0819499999999999E-2</v>
      </c>
      <c r="J1578" s="32">
        <f t="shared" si="376"/>
        <v>0.16048925</v>
      </c>
      <c r="K1578" s="33">
        <f t="shared" si="379"/>
        <v>2.4073387499999998E-2</v>
      </c>
      <c r="L1578" s="52"/>
      <c r="O1578" s="2">
        <f t="shared" si="381"/>
        <v>3.0054166666666667E-2</v>
      </c>
      <c r="P1578" s="2">
        <f t="shared" si="382"/>
        <v>21.639000000000003</v>
      </c>
      <c r="Q1578" s="7">
        <f t="shared" si="383"/>
        <v>98.002717391304358</v>
      </c>
      <c r="R1578" s="2">
        <v>1.2</v>
      </c>
      <c r="S1578" s="2">
        <f t="shared" si="377"/>
        <v>4.45</v>
      </c>
      <c r="T1578" s="2"/>
      <c r="U1578" s="2"/>
      <c r="Y1578" s="8">
        <f t="shared" si="378"/>
        <v>3.4888967391304346</v>
      </c>
    </row>
    <row r="1579" spans="1:25" x14ac:dyDescent="0.25">
      <c r="A1579" s="34">
        <f t="shared" ref="A1579:B1594" si="393">A1578+1</f>
        <v>1571</v>
      </c>
      <c r="B1579" s="35">
        <f t="shared" si="393"/>
        <v>167</v>
      </c>
      <c r="C1579" s="50" t="s">
        <v>402</v>
      </c>
      <c r="D1579" s="51">
        <v>48</v>
      </c>
      <c r="E1579" s="51"/>
      <c r="F1579" s="36">
        <v>0.16669</v>
      </c>
      <c r="G1579" s="36">
        <f t="shared" si="391"/>
        <v>3.2837930000000001E-2</v>
      </c>
      <c r="H1579" s="36">
        <v>6.6239999999999993E-2</v>
      </c>
      <c r="I1579" s="37">
        <f t="shared" si="392"/>
        <v>9.9359999999999987E-3</v>
      </c>
      <c r="J1579" s="32">
        <f t="shared" si="376"/>
        <v>0.14738399999999999</v>
      </c>
      <c r="K1579" s="33">
        <f t="shared" si="379"/>
        <v>2.2107599999999998E-2</v>
      </c>
      <c r="L1579" s="52"/>
      <c r="O1579" s="2">
        <f t="shared" si="381"/>
        <v>2.76E-2</v>
      </c>
      <c r="P1579" s="2">
        <f t="shared" si="382"/>
        <v>19.872</v>
      </c>
      <c r="Q1579" s="7">
        <f t="shared" si="383"/>
        <v>90</v>
      </c>
      <c r="R1579" s="2">
        <v>1.2</v>
      </c>
      <c r="S1579" s="2">
        <f t="shared" si="377"/>
        <v>4.45</v>
      </c>
      <c r="T1579" s="2"/>
      <c r="U1579" s="2"/>
      <c r="Y1579" s="8">
        <f t="shared" si="378"/>
        <v>3.2039999999999997</v>
      </c>
    </row>
    <row r="1580" spans="1:25" x14ac:dyDescent="0.25">
      <c r="A1580" s="34">
        <f t="shared" si="393"/>
        <v>1572</v>
      </c>
      <c r="B1580" s="35">
        <f t="shared" si="393"/>
        <v>168</v>
      </c>
      <c r="C1580" s="50" t="s">
        <v>402</v>
      </c>
      <c r="D1580" s="51">
        <v>49</v>
      </c>
      <c r="E1580" s="51">
        <v>1</v>
      </c>
      <c r="F1580" s="36">
        <v>8.4519999999999998E-2</v>
      </c>
      <c r="G1580" s="36">
        <f t="shared" si="391"/>
        <v>1.6650439999999999E-2</v>
      </c>
      <c r="H1580" s="36">
        <v>3.6069999999999998E-2</v>
      </c>
      <c r="I1580" s="37">
        <f t="shared" si="392"/>
        <v>5.4104999999999995E-3</v>
      </c>
      <c r="J1580" s="32">
        <f t="shared" si="376"/>
        <v>8.0255750000000001E-2</v>
      </c>
      <c r="K1580" s="33">
        <f t="shared" si="379"/>
        <v>1.20383625E-2</v>
      </c>
      <c r="L1580" s="52"/>
      <c r="O1580" s="2">
        <f t="shared" si="381"/>
        <v>1.5029166666666666E-2</v>
      </c>
      <c r="P1580" s="2">
        <f t="shared" si="382"/>
        <v>10.821000000000002</v>
      </c>
      <c r="Q1580" s="7">
        <f t="shared" si="383"/>
        <v>49.008152173913054</v>
      </c>
      <c r="R1580" s="2">
        <v>1.2</v>
      </c>
      <c r="S1580" s="2">
        <f t="shared" si="377"/>
        <v>4.45</v>
      </c>
      <c r="T1580" s="2"/>
      <c r="U1580" s="2"/>
      <c r="Y1580" s="8">
        <f t="shared" si="378"/>
        <v>1.7446902173913044</v>
      </c>
    </row>
    <row r="1581" spans="1:25" x14ac:dyDescent="0.25">
      <c r="A1581" s="34">
        <f t="shared" si="393"/>
        <v>1573</v>
      </c>
      <c r="B1581" s="35">
        <f t="shared" si="393"/>
        <v>169</v>
      </c>
      <c r="C1581" s="50" t="s">
        <v>402</v>
      </c>
      <c r="D1581" s="51">
        <v>49</v>
      </c>
      <c r="E1581" s="51">
        <v>2</v>
      </c>
      <c r="F1581" s="36">
        <v>8.4519999999999998E-2</v>
      </c>
      <c r="G1581" s="36">
        <f t="shared" si="391"/>
        <v>1.6650439999999999E-2</v>
      </c>
      <c r="H1581" s="36">
        <v>3.6069999999999998E-2</v>
      </c>
      <c r="I1581" s="37">
        <f t="shared" si="392"/>
        <v>5.4104999999999995E-3</v>
      </c>
      <c r="J1581" s="32">
        <f t="shared" si="376"/>
        <v>8.0255750000000001E-2</v>
      </c>
      <c r="K1581" s="33">
        <f t="shared" si="379"/>
        <v>1.20383625E-2</v>
      </c>
      <c r="L1581" s="52"/>
      <c r="O1581" s="2">
        <f t="shared" si="381"/>
        <v>1.5029166666666666E-2</v>
      </c>
      <c r="P1581" s="2">
        <f t="shared" si="382"/>
        <v>10.821000000000002</v>
      </c>
      <c r="Q1581" s="7">
        <f t="shared" si="383"/>
        <v>49.008152173913054</v>
      </c>
      <c r="R1581" s="2">
        <v>1.2</v>
      </c>
      <c r="S1581" s="2">
        <f t="shared" si="377"/>
        <v>4.45</v>
      </c>
      <c r="T1581" s="2"/>
      <c r="U1581" s="2"/>
      <c r="Y1581" s="8">
        <f t="shared" si="378"/>
        <v>1.7446902173913044</v>
      </c>
    </row>
    <row r="1582" spans="1:25" x14ac:dyDescent="0.25">
      <c r="A1582" s="34">
        <f t="shared" si="393"/>
        <v>1574</v>
      </c>
      <c r="B1582" s="35">
        <f t="shared" si="393"/>
        <v>170</v>
      </c>
      <c r="C1582" s="50" t="s">
        <v>402</v>
      </c>
      <c r="D1582" s="51">
        <v>52</v>
      </c>
      <c r="E1582" s="51">
        <v>1</v>
      </c>
      <c r="F1582" s="36">
        <v>9.1240000000000002E-2</v>
      </c>
      <c r="G1582" s="36">
        <f t="shared" si="391"/>
        <v>1.7974280000000002E-2</v>
      </c>
      <c r="H1582" s="36">
        <v>3.9379999999999998E-2</v>
      </c>
      <c r="I1582" s="37">
        <f t="shared" si="392"/>
        <v>5.9069999999999999E-3</v>
      </c>
      <c r="J1582" s="32">
        <f t="shared" si="376"/>
        <v>8.7620500000000004E-2</v>
      </c>
      <c r="K1582" s="33">
        <f t="shared" si="379"/>
        <v>1.3143075000000001E-2</v>
      </c>
      <c r="L1582" s="52"/>
      <c r="O1582" s="2">
        <f t="shared" si="381"/>
        <v>1.6408333333333334E-2</v>
      </c>
      <c r="P1582" s="2">
        <f t="shared" si="382"/>
        <v>11.814000000000002</v>
      </c>
      <c r="Q1582" s="7">
        <f t="shared" si="383"/>
        <v>53.505434782608702</v>
      </c>
      <c r="R1582" s="2">
        <v>1.2</v>
      </c>
      <c r="S1582" s="2">
        <f t="shared" si="377"/>
        <v>4.45</v>
      </c>
      <c r="T1582" s="2"/>
      <c r="U1582" s="2"/>
      <c r="Y1582" s="8">
        <f t="shared" si="378"/>
        <v>1.9047934782608695</v>
      </c>
    </row>
    <row r="1583" spans="1:25" x14ac:dyDescent="0.25">
      <c r="A1583" s="34">
        <f t="shared" si="393"/>
        <v>1575</v>
      </c>
      <c r="B1583" s="35">
        <f t="shared" si="393"/>
        <v>171</v>
      </c>
      <c r="C1583" s="50" t="s">
        <v>402</v>
      </c>
      <c r="D1583" s="51">
        <v>52</v>
      </c>
      <c r="E1583" s="51">
        <v>2</v>
      </c>
      <c r="F1583" s="36">
        <v>9.1240000000000002E-2</v>
      </c>
      <c r="G1583" s="36">
        <f t="shared" si="391"/>
        <v>1.7974280000000002E-2</v>
      </c>
      <c r="H1583" s="36">
        <v>3.9379999999999998E-2</v>
      </c>
      <c r="I1583" s="37">
        <f t="shared" si="392"/>
        <v>5.9069999999999999E-3</v>
      </c>
      <c r="J1583" s="32">
        <f t="shared" si="376"/>
        <v>8.7620500000000004E-2</v>
      </c>
      <c r="K1583" s="33">
        <f t="shared" si="379"/>
        <v>1.3143075000000001E-2</v>
      </c>
      <c r="L1583" s="52"/>
      <c r="O1583" s="2">
        <f t="shared" si="381"/>
        <v>1.6408333333333334E-2</v>
      </c>
      <c r="P1583" s="2">
        <f t="shared" si="382"/>
        <v>11.814000000000002</v>
      </c>
      <c r="Q1583" s="7">
        <f t="shared" si="383"/>
        <v>53.505434782608702</v>
      </c>
      <c r="R1583" s="2">
        <v>1.2</v>
      </c>
      <c r="S1583" s="2">
        <f t="shared" si="377"/>
        <v>4.45</v>
      </c>
      <c r="T1583" s="2"/>
      <c r="U1583" s="2"/>
      <c r="Y1583" s="8">
        <f t="shared" si="378"/>
        <v>1.9047934782608695</v>
      </c>
    </row>
    <row r="1584" spans="1:25" x14ac:dyDescent="0.25">
      <c r="A1584" s="34">
        <f t="shared" si="393"/>
        <v>1576</v>
      </c>
      <c r="B1584" s="35">
        <f t="shared" si="393"/>
        <v>172</v>
      </c>
      <c r="C1584" s="50" t="s">
        <v>402</v>
      </c>
      <c r="D1584" s="51">
        <v>82</v>
      </c>
      <c r="E1584" s="51"/>
      <c r="F1584" s="36">
        <v>7.4969999999999995E-2</v>
      </c>
      <c r="G1584" s="36">
        <f t="shared" si="391"/>
        <v>1.476909E-2</v>
      </c>
      <c r="H1584" s="36">
        <v>6.9790000000000005E-2</v>
      </c>
      <c r="I1584" s="37">
        <f t="shared" si="392"/>
        <v>1.04685E-2</v>
      </c>
      <c r="J1584" s="32">
        <f t="shared" si="376"/>
        <v>0.15528275000000002</v>
      </c>
      <c r="K1584" s="33">
        <f t="shared" si="379"/>
        <v>2.3292412500000002E-2</v>
      </c>
      <c r="L1584" s="52"/>
      <c r="O1584" s="2">
        <f t="shared" si="381"/>
        <v>2.907916666666667E-2</v>
      </c>
      <c r="P1584" s="2">
        <f t="shared" si="382"/>
        <v>20.937000000000001</v>
      </c>
      <c r="Q1584" s="7">
        <f t="shared" si="383"/>
        <v>94.823369565217405</v>
      </c>
      <c r="R1584" s="2">
        <v>1.2</v>
      </c>
      <c r="S1584" s="2">
        <f t="shared" si="377"/>
        <v>4.45</v>
      </c>
      <c r="T1584" s="2"/>
      <c r="U1584" s="2"/>
      <c r="Y1584" s="8">
        <f t="shared" si="378"/>
        <v>3.3757119565217399</v>
      </c>
    </row>
    <row r="1585" spans="1:25" x14ac:dyDescent="0.25">
      <c r="A1585" s="34">
        <f t="shared" si="393"/>
        <v>1577</v>
      </c>
      <c r="B1585" s="35">
        <f t="shared" si="393"/>
        <v>173</v>
      </c>
      <c r="C1585" s="50" t="s">
        <v>402</v>
      </c>
      <c r="D1585" s="51">
        <v>111</v>
      </c>
      <c r="E1585" s="51"/>
      <c r="F1585" s="36">
        <v>0.33907999999999999</v>
      </c>
      <c r="G1585" s="36">
        <f t="shared" si="391"/>
        <v>6.6798759999999999E-2</v>
      </c>
      <c r="H1585" s="36">
        <v>0.27378999999999998</v>
      </c>
      <c r="I1585" s="37">
        <f t="shared" si="392"/>
        <v>4.1068499999999994E-2</v>
      </c>
      <c r="J1585" s="32">
        <f t="shared" si="376"/>
        <v>0.44490874999999996</v>
      </c>
      <c r="K1585" s="33">
        <f t="shared" si="379"/>
        <v>6.6736312499999992E-2</v>
      </c>
      <c r="L1585" s="52"/>
      <c r="O1585" s="2">
        <f t="shared" si="381"/>
        <v>0.11407916666666666</v>
      </c>
      <c r="P1585" s="2">
        <f t="shared" si="382"/>
        <v>82.137</v>
      </c>
      <c r="Q1585" s="7">
        <f t="shared" si="383"/>
        <v>371.99728260869568</v>
      </c>
      <c r="R1585" s="2">
        <v>1.2</v>
      </c>
      <c r="S1585" s="2">
        <f t="shared" si="377"/>
        <v>3.25</v>
      </c>
      <c r="T1585" s="2"/>
      <c r="U1585" s="2"/>
      <c r="Y1585" s="8">
        <f t="shared" si="378"/>
        <v>9.6719293478260866</v>
      </c>
    </row>
    <row r="1586" spans="1:25" x14ac:dyDescent="0.25">
      <c r="A1586" s="34">
        <f t="shared" si="393"/>
        <v>1578</v>
      </c>
      <c r="B1586" s="35">
        <f t="shared" si="393"/>
        <v>174</v>
      </c>
      <c r="C1586" s="50" t="s">
        <v>403</v>
      </c>
      <c r="D1586" s="51">
        <v>11</v>
      </c>
      <c r="E1586" s="51"/>
      <c r="F1586" s="36">
        <f t="shared" ref="F1586:I1587" ca="1" si="394">SUM(F1586:F1586)</f>
        <v>0.23596</v>
      </c>
      <c r="G1586" s="36">
        <f t="shared" ca="1" si="394"/>
        <v>4.6484119999999997E-2</v>
      </c>
      <c r="H1586" s="36">
        <v>0.15112</v>
      </c>
      <c r="I1586" s="37">
        <f t="shared" ca="1" si="394"/>
        <v>2.2668000000000001E-2</v>
      </c>
      <c r="J1586" s="32">
        <f t="shared" si="376"/>
        <v>0.27957200000000004</v>
      </c>
      <c r="K1586" s="33">
        <f t="shared" si="379"/>
        <v>4.1935800000000002E-2</v>
      </c>
      <c r="L1586" s="52"/>
      <c r="O1586" s="2">
        <f t="shared" si="381"/>
        <v>6.2966666666666671E-2</v>
      </c>
      <c r="P1586" s="2">
        <f t="shared" si="382"/>
        <v>45.336000000000006</v>
      </c>
      <c r="Q1586" s="7">
        <f t="shared" si="383"/>
        <v>205.32608695652178</v>
      </c>
      <c r="R1586" s="2">
        <v>1.2</v>
      </c>
      <c r="S1586" s="2">
        <f t="shared" si="377"/>
        <v>3.7</v>
      </c>
      <c r="T1586" s="2"/>
      <c r="U1586" s="2"/>
      <c r="Y1586" s="8">
        <f t="shared" si="378"/>
        <v>6.0776521739130445</v>
      </c>
    </row>
    <row r="1587" spans="1:25" x14ac:dyDescent="0.25">
      <c r="A1587" s="34">
        <f t="shared" si="393"/>
        <v>1579</v>
      </c>
      <c r="B1587" s="35">
        <f t="shared" si="393"/>
        <v>175</v>
      </c>
      <c r="C1587" s="50" t="s">
        <v>403</v>
      </c>
      <c r="D1587" s="51">
        <v>14</v>
      </c>
      <c r="E1587" s="51"/>
      <c r="F1587" s="36">
        <f t="shared" ca="1" si="394"/>
        <v>0.29446</v>
      </c>
      <c r="G1587" s="36">
        <f t="shared" ca="1" si="394"/>
        <v>5.8008619999999997E-2</v>
      </c>
      <c r="H1587" s="36">
        <v>0.12057</v>
      </c>
      <c r="I1587" s="37">
        <f t="shared" ca="1" si="394"/>
        <v>1.8085500000000001E-2</v>
      </c>
      <c r="J1587" s="32">
        <f t="shared" si="376"/>
        <v>0.22305449999999999</v>
      </c>
      <c r="K1587" s="33">
        <f t="shared" si="379"/>
        <v>3.3458175E-2</v>
      </c>
      <c r="L1587" s="52"/>
      <c r="O1587" s="2">
        <f t="shared" si="381"/>
        <v>5.0237499999999997E-2</v>
      </c>
      <c r="P1587" s="2">
        <f t="shared" si="382"/>
        <v>36.170999999999999</v>
      </c>
      <c r="Q1587" s="7">
        <f t="shared" si="383"/>
        <v>163.81793478260869</v>
      </c>
      <c r="R1587" s="2">
        <v>1.2</v>
      </c>
      <c r="S1587" s="2">
        <f t="shared" si="377"/>
        <v>3.7</v>
      </c>
      <c r="T1587" s="2"/>
      <c r="U1587" s="2"/>
      <c r="Y1587" s="8">
        <f t="shared" si="378"/>
        <v>4.8490108695652179</v>
      </c>
    </row>
    <row r="1588" spans="1:25" x14ac:dyDescent="0.25">
      <c r="A1588" s="34">
        <f t="shared" si="393"/>
        <v>1580</v>
      </c>
      <c r="B1588" s="35">
        <f t="shared" si="393"/>
        <v>176</v>
      </c>
      <c r="C1588" s="50" t="s">
        <v>403</v>
      </c>
      <c r="D1588" s="51">
        <v>16</v>
      </c>
      <c r="E1588" s="51"/>
      <c r="F1588" s="36">
        <v>0.14729</v>
      </c>
      <c r="G1588" s="36">
        <f t="shared" ref="G1588:G1593" si="395">F1588*0.197</f>
        <v>2.9016130000000001E-2</v>
      </c>
      <c r="H1588" s="36">
        <v>6.1823999999999997E-2</v>
      </c>
      <c r="I1588" s="37">
        <f t="shared" ref="I1588:I1593" si="396">H1588*0.15</f>
        <v>9.2735999999999999E-3</v>
      </c>
      <c r="J1588" s="32">
        <f t="shared" si="376"/>
        <v>0.13755839999999997</v>
      </c>
      <c r="K1588" s="33">
        <f t="shared" si="379"/>
        <v>2.0633759999999994E-2</v>
      </c>
      <c r="L1588" s="52"/>
      <c r="O1588" s="2">
        <f t="shared" si="381"/>
        <v>2.5759999999999998E-2</v>
      </c>
      <c r="P1588" s="2">
        <f t="shared" si="382"/>
        <v>18.547199999999997</v>
      </c>
      <c r="Q1588" s="7">
        <f t="shared" si="383"/>
        <v>83.999999999999986</v>
      </c>
      <c r="R1588" s="2">
        <v>1.2</v>
      </c>
      <c r="S1588" s="2">
        <f t="shared" si="377"/>
        <v>4.45</v>
      </c>
      <c r="T1588" s="2"/>
      <c r="U1588" s="2"/>
      <c r="Y1588" s="8">
        <f t="shared" si="378"/>
        <v>2.9903999999999993</v>
      </c>
    </row>
    <row r="1589" spans="1:25" x14ac:dyDescent="0.25">
      <c r="A1589" s="34">
        <f t="shared" si="393"/>
        <v>1581</v>
      </c>
      <c r="B1589" s="35">
        <f t="shared" si="393"/>
        <v>177</v>
      </c>
      <c r="C1589" s="50" t="s">
        <v>403</v>
      </c>
      <c r="D1589" s="51">
        <v>34</v>
      </c>
      <c r="E1589" s="51"/>
      <c r="F1589" s="36">
        <v>0.16417999999999999</v>
      </c>
      <c r="G1589" s="36">
        <f t="shared" si="395"/>
        <v>3.2343459999999997E-2</v>
      </c>
      <c r="H1589" s="36">
        <v>7.1389999999999995E-2</v>
      </c>
      <c r="I1589" s="37">
        <f t="shared" si="396"/>
        <v>1.0708499999999999E-2</v>
      </c>
      <c r="J1589" s="32">
        <f t="shared" si="376"/>
        <v>0.15884275</v>
      </c>
      <c r="K1589" s="33">
        <f t="shared" si="379"/>
        <v>2.3826412500000001E-2</v>
      </c>
      <c r="L1589" s="52"/>
      <c r="O1589" s="2">
        <f t="shared" si="381"/>
        <v>2.9745833333333332E-2</v>
      </c>
      <c r="P1589" s="2">
        <f t="shared" si="382"/>
        <v>21.416999999999998</v>
      </c>
      <c r="Q1589" s="7">
        <f t="shared" si="383"/>
        <v>96.997282608695642</v>
      </c>
      <c r="R1589" s="2">
        <v>1.2</v>
      </c>
      <c r="S1589" s="2">
        <f t="shared" si="377"/>
        <v>4.45</v>
      </c>
      <c r="T1589" s="2"/>
      <c r="U1589" s="2"/>
      <c r="Y1589" s="8">
        <f t="shared" si="378"/>
        <v>3.4531032608695655</v>
      </c>
    </row>
    <row r="1590" spans="1:25" x14ac:dyDescent="0.25">
      <c r="A1590" s="34">
        <f t="shared" si="393"/>
        <v>1582</v>
      </c>
      <c r="B1590" s="35">
        <f t="shared" si="393"/>
        <v>178</v>
      </c>
      <c r="C1590" s="50" t="s">
        <v>403</v>
      </c>
      <c r="D1590" s="51">
        <v>39</v>
      </c>
      <c r="E1590" s="51"/>
      <c r="F1590" s="36">
        <v>0.17219999999999999</v>
      </c>
      <c r="G1590" s="36">
        <f t="shared" si="395"/>
        <v>3.3923399999999999E-2</v>
      </c>
      <c r="H1590" s="36">
        <v>3.091E-2</v>
      </c>
      <c r="I1590" s="37">
        <f t="shared" si="396"/>
        <v>4.6365E-3</v>
      </c>
      <c r="J1590" s="32">
        <f t="shared" si="376"/>
        <v>6.8774750000000009E-2</v>
      </c>
      <c r="K1590" s="33">
        <f t="shared" si="379"/>
        <v>1.0316212500000001E-2</v>
      </c>
      <c r="L1590" s="52"/>
      <c r="O1590" s="2">
        <f t="shared" si="381"/>
        <v>1.2879166666666667E-2</v>
      </c>
      <c r="P1590" s="2">
        <f t="shared" si="382"/>
        <v>9.2730000000000015</v>
      </c>
      <c r="Q1590" s="7">
        <f t="shared" si="383"/>
        <v>41.997282608695663</v>
      </c>
      <c r="R1590" s="2">
        <v>1.2</v>
      </c>
      <c r="S1590" s="2">
        <f t="shared" si="377"/>
        <v>4.45</v>
      </c>
      <c r="T1590" s="2"/>
      <c r="U1590" s="2"/>
      <c r="Y1590" s="8">
        <f t="shared" si="378"/>
        <v>1.4951032608695654</v>
      </c>
    </row>
    <row r="1591" spans="1:25" x14ac:dyDescent="0.25">
      <c r="A1591" s="34">
        <f t="shared" si="393"/>
        <v>1583</v>
      </c>
      <c r="B1591" s="35">
        <f t="shared" si="393"/>
        <v>179</v>
      </c>
      <c r="C1591" s="50" t="s">
        <v>403</v>
      </c>
      <c r="D1591" s="51">
        <v>62</v>
      </c>
      <c r="E1591" s="51"/>
      <c r="F1591" s="36">
        <v>0.10433000000000001</v>
      </c>
      <c r="G1591" s="36">
        <f t="shared" si="395"/>
        <v>2.0553010000000003E-2</v>
      </c>
      <c r="H1591" s="36">
        <v>5.2260000000000001E-2</v>
      </c>
      <c r="I1591" s="37">
        <f t="shared" si="396"/>
        <v>7.8390000000000005E-3</v>
      </c>
      <c r="J1591" s="32">
        <f t="shared" si="376"/>
        <v>0.11627850000000002</v>
      </c>
      <c r="K1591" s="33">
        <f t="shared" si="379"/>
        <v>1.7441775000000003E-2</v>
      </c>
      <c r="L1591" s="52"/>
      <c r="O1591" s="2">
        <f t="shared" si="381"/>
        <v>2.1775000000000003E-2</v>
      </c>
      <c r="P1591" s="2">
        <f t="shared" si="382"/>
        <v>15.678000000000003</v>
      </c>
      <c r="Q1591" s="7">
        <f t="shared" si="383"/>
        <v>71.005434782608702</v>
      </c>
      <c r="R1591" s="2">
        <v>1.2</v>
      </c>
      <c r="S1591" s="2">
        <f t="shared" si="377"/>
        <v>4.45</v>
      </c>
      <c r="T1591" s="2"/>
      <c r="U1591" s="2"/>
      <c r="Y1591" s="8">
        <f t="shared" si="378"/>
        <v>2.52779347826087</v>
      </c>
    </row>
    <row r="1592" spans="1:25" x14ac:dyDescent="0.25">
      <c r="A1592" s="34">
        <f t="shared" si="393"/>
        <v>1584</v>
      </c>
      <c r="B1592" s="35">
        <f t="shared" si="393"/>
        <v>180</v>
      </c>
      <c r="C1592" s="50" t="s">
        <v>403</v>
      </c>
      <c r="D1592" s="51">
        <v>64</v>
      </c>
      <c r="E1592" s="51"/>
      <c r="F1592" s="36">
        <v>3.8519999999999999E-2</v>
      </c>
      <c r="G1592" s="36">
        <f t="shared" si="395"/>
        <v>7.5884400000000001E-3</v>
      </c>
      <c r="H1592" s="36">
        <v>1.546E-2</v>
      </c>
      <c r="I1592" s="37">
        <f t="shared" si="396"/>
        <v>2.3189999999999999E-3</v>
      </c>
      <c r="J1592" s="32">
        <f t="shared" si="376"/>
        <v>3.4398499999999999E-2</v>
      </c>
      <c r="K1592" s="33">
        <f t="shared" si="379"/>
        <v>5.1597749999999993E-3</v>
      </c>
      <c r="L1592" s="52"/>
      <c r="O1592" s="2">
        <f t="shared" si="381"/>
        <v>6.4416666666666667E-3</v>
      </c>
      <c r="P1592" s="2">
        <f t="shared" si="382"/>
        <v>4.6380000000000008</v>
      </c>
      <c r="Q1592" s="7">
        <f t="shared" si="383"/>
        <v>21.005434782608699</v>
      </c>
      <c r="R1592" s="2">
        <v>1.2</v>
      </c>
      <c r="S1592" s="2">
        <f t="shared" si="377"/>
        <v>4.45</v>
      </c>
      <c r="T1592" s="2"/>
      <c r="U1592" s="2"/>
      <c r="Y1592" s="8">
        <f t="shared" si="378"/>
        <v>0.74779347826086962</v>
      </c>
    </row>
    <row r="1593" spans="1:25" x14ac:dyDescent="0.25">
      <c r="A1593" s="34">
        <f t="shared" si="393"/>
        <v>1585</v>
      </c>
      <c r="B1593" s="35">
        <f t="shared" si="393"/>
        <v>181</v>
      </c>
      <c r="C1593" s="50" t="s">
        <v>403</v>
      </c>
      <c r="D1593" s="51">
        <v>81</v>
      </c>
      <c r="E1593" s="51"/>
      <c r="F1593" s="36">
        <v>0.24193000000000001</v>
      </c>
      <c r="G1593" s="36">
        <f t="shared" si="395"/>
        <v>4.7660210000000001E-2</v>
      </c>
      <c r="H1593" s="36">
        <v>7.5069999999999998E-2</v>
      </c>
      <c r="I1593" s="37">
        <f t="shared" si="396"/>
        <v>1.12605E-2</v>
      </c>
      <c r="J1593" s="32">
        <f t="shared" si="376"/>
        <v>0.16703075000000003</v>
      </c>
      <c r="K1593" s="33">
        <f t="shared" si="379"/>
        <v>2.5054612500000004E-2</v>
      </c>
      <c r="L1593" s="52"/>
      <c r="O1593" s="2">
        <f t="shared" si="381"/>
        <v>3.127916666666667E-2</v>
      </c>
      <c r="P1593" s="2">
        <f t="shared" si="382"/>
        <v>22.521000000000004</v>
      </c>
      <c r="Q1593" s="7">
        <f t="shared" si="383"/>
        <v>101.99728260869567</v>
      </c>
      <c r="R1593" s="2">
        <v>1.2</v>
      </c>
      <c r="S1593" s="2">
        <f t="shared" si="377"/>
        <v>4.45</v>
      </c>
      <c r="T1593" s="2"/>
      <c r="U1593" s="2"/>
      <c r="Y1593" s="8">
        <f t="shared" si="378"/>
        <v>3.6311032608695659</v>
      </c>
    </row>
    <row r="1594" spans="1:25" x14ac:dyDescent="0.25">
      <c r="A1594" s="34">
        <f t="shared" si="393"/>
        <v>1586</v>
      </c>
      <c r="B1594" s="35">
        <f t="shared" si="393"/>
        <v>182</v>
      </c>
      <c r="C1594" s="50" t="s">
        <v>403</v>
      </c>
      <c r="D1594" s="51" t="s">
        <v>404</v>
      </c>
      <c r="E1594" s="51"/>
      <c r="F1594" s="36">
        <f ca="1">SUM(F1594:F1594)</f>
        <v>1.54E-2</v>
      </c>
      <c r="G1594" s="36">
        <f ca="1">SUM(G1594:G1594)</f>
        <v>3.0338000000000001E-3</v>
      </c>
      <c r="H1594" s="36">
        <v>1.7819999999999999E-2</v>
      </c>
      <c r="I1594" s="37">
        <f ca="1">SUM(I1594:I1594)</f>
        <v>2.673E-3</v>
      </c>
      <c r="J1594" s="32">
        <f t="shared" si="376"/>
        <v>3.9649499999999997E-2</v>
      </c>
      <c r="K1594" s="33">
        <f t="shared" si="379"/>
        <v>5.9474249999999992E-3</v>
      </c>
      <c r="L1594" s="52"/>
      <c r="O1594" s="2">
        <f t="shared" si="381"/>
        <v>7.4250000000000002E-3</v>
      </c>
      <c r="P1594" s="2">
        <f t="shared" si="382"/>
        <v>5.3460000000000001</v>
      </c>
      <c r="Q1594" s="7">
        <f t="shared" si="383"/>
        <v>24.211956521739133</v>
      </c>
      <c r="R1594" s="2">
        <v>1.2</v>
      </c>
      <c r="S1594" s="2">
        <f t="shared" si="377"/>
        <v>4.45</v>
      </c>
      <c r="T1594" s="2"/>
      <c r="U1594" s="2"/>
      <c r="Y1594" s="8">
        <f t="shared" si="378"/>
        <v>0.86194565217391295</v>
      </c>
    </row>
    <row r="1595" spans="1:25" x14ac:dyDescent="0.25">
      <c r="A1595" s="34">
        <f t="shared" ref="A1595:B1610" si="397">A1594+1</f>
        <v>1587</v>
      </c>
      <c r="B1595" s="35">
        <f t="shared" si="397"/>
        <v>183</v>
      </c>
      <c r="C1595" s="50" t="s">
        <v>403</v>
      </c>
      <c r="D1595" s="51">
        <v>103</v>
      </c>
      <c r="E1595" s="51"/>
      <c r="F1595" s="36">
        <v>7.8466999999999995E-2</v>
      </c>
      <c r="G1595" s="36">
        <f>F1595*0.197</f>
        <v>1.5457999E-2</v>
      </c>
      <c r="H1595" s="36">
        <v>8.8339999999999998E-3</v>
      </c>
      <c r="I1595" s="37">
        <f>H1595*0.15</f>
        <v>1.3250999999999998E-3</v>
      </c>
      <c r="J1595" s="32">
        <f t="shared" si="376"/>
        <v>1.965565E-2</v>
      </c>
      <c r="K1595" s="33">
        <f t="shared" si="379"/>
        <v>2.9483474999999998E-3</v>
      </c>
      <c r="L1595" s="24" t="s">
        <v>16</v>
      </c>
      <c r="O1595" s="2">
        <f t="shared" si="381"/>
        <v>3.6808333333333333E-3</v>
      </c>
      <c r="P1595" s="2">
        <f t="shared" si="382"/>
        <v>2.6501999999999999</v>
      </c>
      <c r="Q1595" s="7">
        <f t="shared" si="383"/>
        <v>12.002717391304348</v>
      </c>
      <c r="R1595" s="2">
        <v>1.2</v>
      </c>
      <c r="S1595" s="2">
        <f t="shared" si="377"/>
        <v>4.45</v>
      </c>
      <c r="T1595" s="2"/>
      <c r="U1595" s="2"/>
      <c r="Y1595" s="8">
        <f t="shared" si="378"/>
        <v>0.42729673913043476</v>
      </c>
    </row>
    <row r="1596" spans="1:25" x14ac:dyDescent="0.25">
      <c r="A1596" s="34">
        <f t="shared" si="397"/>
        <v>1588</v>
      </c>
      <c r="B1596" s="35">
        <f t="shared" si="397"/>
        <v>184</v>
      </c>
      <c r="C1596" s="50" t="s">
        <v>405</v>
      </c>
      <c r="D1596" s="51">
        <v>6</v>
      </c>
      <c r="E1596" s="51"/>
      <c r="F1596" s="36">
        <v>5.0860000000000002E-2</v>
      </c>
      <c r="G1596" s="36">
        <f>F1596*0.197</f>
        <v>1.0019420000000001E-2</v>
      </c>
      <c r="H1596" s="36">
        <v>1.546E-2</v>
      </c>
      <c r="I1596" s="37">
        <f>H1596*0.15</f>
        <v>2.3189999999999999E-3</v>
      </c>
      <c r="J1596" s="32">
        <f t="shared" si="376"/>
        <v>3.4398499999999999E-2</v>
      </c>
      <c r="K1596" s="33">
        <f t="shared" si="379"/>
        <v>5.1597749999999993E-3</v>
      </c>
      <c r="L1596" s="24" t="s">
        <v>16</v>
      </c>
      <c r="O1596" s="2">
        <f t="shared" si="381"/>
        <v>6.4416666666666667E-3</v>
      </c>
      <c r="P1596" s="2">
        <f t="shared" si="382"/>
        <v>4.6380000000000008</v>
      </c>
      <c r="Q1596" s="7">
        <f t="shared" si="383"/>
        <v>21.005434782608699</v>
      </c>
      <c r="R1596" s="2">
        <v>1.2</v>
      </c>
      <c r="S1596" s="2">
        <f t="shared" si="377"/>
        <v>4.45</v>
      </c>
      <c r="T1596" s="2"/>
      <c r="U1596" s="2"/>
      <c r="Y1596" s="8">
        <f t="shared" si="378"/>
        <v>0.74779347826086962</v>
      </c>
    </row>
    <row r="1597" spans="1:25" x14ac:dyDescent="0.25">
      <c r="A1597" s="34">
        <f t="shared" si="397"/>
        <v>1589</v>
      </c>
      <c r="B1597" s="35">
        <f t="shared" si="397"/>
        <v>185</v>
      </c>
      <c r="C1597" s="50" t="s">
        <v>405</v>
      </c>
      <c r="D1597" s="51">
        <v>8</v>
      </c>
      <c r="E1597" s="51"/>
      <c r="F1597" s="36">
        <v>6.1331999999999998E-2</v>
      </c>
      <c r="G1597" s="36">
        <f>F1597*0.197</f>
        <v>1.2082404E-2</v>
      </c>
      <c r="H1597" s="36">
        <v>1.1039999999999999E-2</v>
      </c>
      <c r="I1597" s="37">
        <f>H1597*0.15</f>
        <v>1.6559999999999999E-3</v>
      </c>
      <c r="J1597" s="32">
        <f t="shared" si="376"/>
        <v>2.4563999999999999E-2</v>
      </c>
      <c r="K1597" s="33">
        <f t="shared" si="379"/>
        <v>3.6845999999999997E-3</v>
      </c>
      <c r="L1597" s="24" t="s">
        <v>16</v>
      </c>
      <c r="O1597" s="2">
        <f t="shared" si="381"/>
        <v>4.5999999999999999E-3</v>
      </c>
      <c r="P1597" s="2">
        <f t="shared" si="382"/>
        <v>3.3119999999999998</v>
      </c>
      <c r="Q1597" s="7">
        <f t="shared" si="383"/>
        <v>15</v>
      </c>
      <c r="R1597" s="2">
        <v>1.2</v>
      </c>
      <c r="S1597" s="2">
        <f t="shared" si="377"/>
        <v>4.45</v>
      </c>
      <c r="T1597" s="2"/>
      <c r="U1597" s="2"/>
      <c r="Y1597" s="8">
        <f t="shared" si="378"/>
        <v>0.53399999999999992</v>
      </c>
    </row>
    <row r="1598" spans="1:25" x14ac:dyDescent="0.25">
      <c r="A1598" s="34">
        <f t="shared" si="397"/>
        <v>1590</v>
      </c>
      <c r="B1598" s="35">
        <f t="shared" si="397"/>
        <v>186</v>
      </c>
      <c r="C1598" s="50" t="s">
        <v>405</v>
      </c>
      <c r="D1598" s="51" t="s">
        <v>86</v>
      </c>
      <c r="E1598" s="51"/>
      <c r="F1598" s="36">
        <v>7.3848999999999998E-2</v>
      </c>
      <c r="G1598" s="36">
        <f>F1598*0.197</f>
        <v>1.4548253000000001E-2</v>
      </c>
      <c r="H1598" s="36">
        <v>1.9137999999999999E-2</v>
      </c>
      <c r="I1598" s="37">
        <f>H1598*0.15</f>
        <v>2.8706999999999999E-3</v>
      </c>
      <c r="J1598" s="32">
        <f t="shared" si="376"/>
        <v>4.2582049999999996E-2</v>
      </c>
      <c r="K1598" s="33">
        <f t="shared" si="379"/>
        <v>6.3873074999999989E-3</v>
      </c>
      <c r="L1598" s="24" t="s">
        <v>16</v>
      </c>
      <c r="O1598" s="2">
        <f t="shared" si="381"/>
        <v>7.9741666666666659E-3</v>
      </c>
      <c r="P1598" s="2">
        <f t="shared" si="382"/>
        <v>5.7413999999999996</v>
      </c>
      <c r="Q1598" s="7">
        <f t="shared" si="383"/>
        <v>26.002717391304348</v>
      </c>
      <c r="R1598" s="2">
        <v>1.2</v>
      </c>
      <c r="S1598" s="2">
        <f t="shared" si="377"/>
        <v>4.45</v>
      </c>
      <c r="T1598" s="2"/>
      <c r="U1598" s="2"/>
      <c r="Y1598" s="8">
        <f t="shared" si="378"/>
        <v>0.92569673913043471</v>
      </c>
    </row>
    <row r="1599" spans="1:25" x14ac:dyDescent="0.25">
      <c r="A1599" s="34">
        <f t="shared" si="397"/>
        <v>1591</v>
      </c>
      <c r="B1599" s="35">
        <f t="shared" si="397"/>
        <v>187</v>
      </c>
      <c r="C1599" s="50" t="s">
        <v>406</v>
      </c>
      <c r="D1599" s="51">
        <v>181</v>
      </c>
      <c r="E1599" s="51"/>
      <c r="F1599" s="36">
        <v>7.6999999999999999E-2</v>
      </c>
      <c r="G1599" s="36">
        <f>F1599*0.197</f>
        <v>1.5169E-2</v>
      </c>
      <c r="H1599" s="36">
        <v>4.1953999999999998E-2</v>
      </c>
      <c r="I1599" s="37">
        <f>H1599*0.15</f>
        <v>6.2930999999999994E-3</v>
      </c>
      <c r="J1599" s="32">
        <f t="shared" si="376"/>
        <v>9.3347650000000004E-2</v>
      </c>
      <c r="K1599" s="33">
        <f t="shared" si="379"/>
        <v>1.4002147500000001E-2</v>
      </c>
      <c r="L1599" s="52"/>
      <c r="O1599" s="2">
        <f t="shared" si="381"/>
        <v>1.7480833333333334E-2</v>
      </c>
      <c r="P1599" s="2">
        <f t="shared" si="382"/>
        <v>12.586200000000002</v>
      </c>
      <c r="Q1599" s="7">
        <f t="shared" si="383"/>
        <v>57.002717391304358</v>
      </c>
      <c r="R1599" s="2">
        <v>1.2</v>
      </c>
      <c r="S1599" s="2">
        <f t="shared" si="377"/>
        <v>4.45</v>
      </c>
      <c r="T1599" s="2"/>
      <c r="U1599" s="2"/>
      <c r="Y1599" s="8">
        <f t="shared" si="378"/>
        <v>2.0292967391304346</v>
      </c>
    </row>
    <row r="1600" spans="1:25" x14ac:dyDescent="0.25">
      <c r="A1600" s="34">
        <f t="shared" si="397"/>
        <v>1592</v>
      </c>
      <c r="B1600" s="35">
        <f t="shared" si="397"/>
        <v>188</v>
      </c>
      <c r="C1600" s="50" t="s">
        <v>406</v>
      </c>
      <c r="D1600" s="51">
        <v>185</v>
      </c>
      <c r="E1600" s="51"/>
      <c r="F1600" s="36">
        <f ca="1">SUM(F1600:F1600)</f>
        <v>0.17164000000000001</v>
      </c>
      <c r="G1600" s="36">
        <f ca="1">SUM(G1600:G1600)</f>
        <v>3.3813080000000002E-2</v>
      </c>
      <c r="H1600" s="36">
        <v>6.3769999999999993E-2</v>
      </c>
      <c r="I1600" s="37">
        <f ca="1">SUM(I1600:I1600)</f>
        <v>9.5650500000000003E-3</v>
      </c>
      <c r="J1600" s="32">
        <f t="shared" si="376"/>
        <v>0.14188824999999999</v>
      </c>
      <c r="K1600" s="33">
        <f t="shared" si="379"/>
        <v>2.12832375E-2</v>
      </c>
      <c r="L1600" s="52"/>
      <c r="O1600" s="2">
        <f t="shared" si="381"/>
        <v>2.6570833333333332E-2</v>
      </c>
      <c r="P1600" s="2">
        <f t="shared" si="382"/>
        <v>19.130999999999997</v>
      </c>
      <c r="Q1600" s="7">
        <f t="shared" si="383"/>
        <v>86.644021739130423</v>
      </c>
      <c r="R1600" s="2">
        <v>1.2</v>
      </c>
      <c r="S1600" s="2">
        <f t="shared" si="377"/>
        <v>4.45</v>
      </c>
      <c r="T1600" s="2"/>
      <c r="U1600" s="2"/>
      <c r="Y1600" s="8">
        <f t="shared" si="378"/>
        <v>3.0845271739130435</v>
      </c>
    </row>
    <row r="1601" spans="1:25" x14ac:dyDescent="0.25">
      <c r="A1601" s="34">
        <f t="shared" si="397"/>
        <v>1593</v>
      </c>
      <c r="B1601" s="35">
        <f t="shared" si="397"/>
        <v>189</v>
      </c>
      <c r="C1601" s="50" t="s">
        <v>406</v>
      </c>
      <c r="D1601" s="51">
        <v>207</v>
      </c>
      <c r="E1601" s="51"/>
      <c r="F1601" s="36">
        <v>0.14729</v>
      </c>
      <c r="G1601" s="36">
        <f t="shared" ref="G1601:G1614" si="398">F1601*0.197</f>
        <v>2.9016130000000001E-2</v>
      </c>
      <c r="H1601" s="36">
        <v>5.9040000000000002E-2</v>
      </c>
      <c r="I1601" s="37">
        <f t="shared" ref="I1601:I1614" si="399">H1601*0.15</f>
        <v>8.8559999999999993E-3</v>
      </c>
      <c r="J1601" s="32">
        <f t="shared" si="376"/>
        <v>0.13136400000000001</v>
      </c>
      <c r="K1601" s="33">
        <f t="shared" si="379"/>
        <v>1.9704599999999999E-2</v>
      </c>
      <c r="L1601" s="52"/>
      <c r="O1601" s="2">
        <f t="shared" si="381"/>
        <v>2.46E-2</v>
      </c>
      <c r="P1601" s="2">
        <f t="shared" si="382"/>
        <v>17.712</v>
      </c>
      <c r="Q1601" s="7">
        <f t="shared" si="383"/>
        <v>80.217391304347828</v>
      </c>
      <c r="R1601" s="2">
        <v>1.2</v>
      </c>
      <c r="S1601" s="2">
        <f t="shared" si="377"/>
        <v>4.45</v>
      </c>
      <c r="T1601" s="2"/>
      <c r="U1601" s="2"/>
      <c r="Y1601" s="8">
        <f t="shared" si="378"/>
        <v>2.8557391304347828</v>
      </c>
    </row>
    <row r="1602" spans="1:25" x14ac:dyDescent="0.25">
      <c r="A1602" s="34">
        <f t="shared" si="397"/>
        <v>1594</v>
      </c>
      <c r="B1602" s="35">
        <f t="shared" si="397"/>
        <v>190</v>
      </c>
      <c r="C1602" s="50" t="s">
        <v>406</v>
      </c>
      <c r="D1602" s="51">
        <v>219</v>
      </c>
      <c r="E1602" s="51"/>
      <c r="F1602" s="36">
        <v>0.216359</v>
      </c>
      <c r="G1602" s="36">
        <f t="shared" si="398"/>
        <v>4.2622723000000001E-2</v>
      </c>
      <c r="H1602" s="36">
        <v>8.9793999999999999E-2</v>
      </c>
      <c r="I1602" s="37">
        <f t="shared" si="399"/>
        <v>1.3469099999999999E-2</v>
      </c>
      <c r="J1602" s="32">
        <f t="shared" si="376"/>
        <v>0.19979165000000002</v>
      </c>
      <c r="K1602" s="33">
        <f t="shared" si="379"/>
        <v>2.99687475E-2</v>
      </c>
      <c r="L1602" s="52"/>
      <c r="O1602" s="2">
        <f t="shared" si="381"/>
        <v>3.7414166666666665E-2</v>
      </c>
      <c r="P1602" s="2">
        <f t="shared" si="382"/>
        <v>26.938199999999998</v>
      </c>
      <c r="Q1602" s="7">
        <f t="shared" si="383"/>
        <v>122.00271739130434</v>
      </c>
      <c r="R1602" s="2">
        <v>1.2</v>
      </c>
      <c r="S1602" s="2">
        <f t="shared" si="377"/>
        <v>4.45</v>
      </c>
      <c r="T1602" s="2"/>
      <c r="U1602" s="2"/>
      <c r="Y1602" s="8">
        <f t="shared" si="378"/>
        <v>4.3432967391304347</v>
      </c>
    </row>
    <row r="1603" spans="1:25" x14ac:dyDescent="0.25">
      <c r="A1603" s="34">
        <f t="shared" si="397"/>
        <v>1595</v>
      </c>
      <c r="B1603" s="35">
        <f t="shared" si="397"/>
        <v>191</v>
      </c>
      <c r="C1603" s="50" t="s">
        <v>406</v>
      </c>
      <c r="D1603" s="51">
        <v>225</v>
      </c>
      <c r="E1603" s="51"/>
      <c r="F1603" s="36">
        <v>0.21380399999999999</v>
      </c>
      <c r="G1603" s="36">
        <f t="shared" si="398"/>
        <v>4.2119388000000001E-2</v>
      </c>
      <c r="H1603" s="36">
        <v>8.1696000000000005E-2</v>
      </c>
      <c r="I1603" s="37">
        <f t="shared" si="399"/>
        <v>1.22544E-2</v>
      </c>
      <c r="J1603" s="32">
        <f t="shared" si="376"/>
        <v>0.18177360000000001</v>
      </c>
      <c r="K1603" s="33">
        <f t="shared" si="379"/>
        <v>2.7266040000000002E-2</v>
      </c>
      <c r="L1603" s="52"/>
      <c r="O1603" s="2">
        <f t="shared" si="381"/>
        <v>3.4040000000000001E-2</v>
      </c>
      <c r="P1603" s="2">
        <f t="shared" si="382"/>
        <v>24.508800000000001</v>
      </c>
      <c r="Q1603" s="7">
        <f t="shared" si="383"/>
        <v>111</v>
      </c>
      <c r="R1603" s="2">
        <v>1.2</v>
      </c>
      <c r="S1603" s="2">
        <f t="shared" si="377"/>
        <v>4.45</v>
      </c>
      <c r="T1603" s="2"/>
      <c r="U1603" s="2"/>
      <c r="Y1603" s="8">
        <f t="shared" si="378"/>
        <v>3.9516000000000004</v>
      </c>
    </row>
    <row r="1604" spans="1:25" x14ac:dyDescent="0.25">
      <c r="A1604" s="34">
        <f t="shared" si="397"/>
        <v>1596</v>
      </c>
      <c r="B1604" s="35">
        <f t="shared" si="397"/>
        <v>192</v>
      </c>
      <c r="C1604" s="50" t="s">
        <v>406</v>
      </c>
      <c r="D1604" s="51">
        <v>246</v>
      </c>
      <c r="E1604" s="51"/>
      <c r="F1604" s="36">
        <v>0.18174000000000001</v>
      </c>
      <c r="G1604" s="36">
        <f t="shared" si="398"/>
        <v>3.5802780000000006E-2</v>
      </c>
      <c r="H1604" s="36">
        <v>9.1230000000000006E-2</v>
      </c>
      <c r="I1604" s="37">
        <f t="shared" si="399"/>
        <v>1.36845E-2</v>
      </c>
      <c r="J1604" s="32">
        <f t="shared" si="376"/>
        <v>0.20298675000000002</v>
      </c>
      <c r="K1604" s="33">
        <f t="shared" si="379"/>
        <v>3.0448012500000003E-2</v>
      </c>
      <c r="L1604" s="52"/>
      <c r="O1604" s="2">
        <f t="shared" si="381"/>
        <v>3.8012500000000005E-2</v>
      </c>
      <c r="P1604" s="2">
        <f t="shared" si="382"/>
        <v>27.369000000000003</v>
      </c>
      <c r="Q1604" s="7">
        <f t="shared" si="383"/>
        <v>123.95380434782611</v>
      </c>
      <c r="R1604" s="2">
        <v>1.2</v>
      </c>
      <c r="S1604" s="2">
        <f t="shared" si="377"/>
        <v>4.45</v>
      </c>
      <c r="T1604" s="2"/>
      <c r="U1604" s="2"/>
      <c r="Y1604" s="8">
        <f t="shared" si="378"/>
        <v>4.4127554347826088</v>
      </c>
    </row>
    <row r="1605" spans="1:25" x14ac:dyDescent="0.25">
      <c r="A1605" s="34">
        <f t="shared" si="397"/>
        <v>1597</v>
      </c>
      <c r="B1605" s="35">
        <f t="shared" si="397"/>
        <v>193</v>
      </c>
      <c r="C1605" s="50" t="s">
        <v>406</v>
      </c>
      <c r="D1605" s="51">
        <v>254</v>
      </c>
      <c r="E1605" s="51"/>
      <c r="F1605" s="36">
        <v>0.16027</v>
      </c>
      <c r="G1605" s="36">
        <f t="shared" si="398"/>
        <v>3.1573190000000001E-2</v>
      </c>
      <c r="H1605" s="36">
        <v>8.0597458579164297E-2</v>
      </c>
      <c r="I1605" s="37">
        <f t="shared" si="399"/>
        <v>1.2089618786874643E-2</v>
      </c>
      <c r="J1605" s="32">
        <f t="shared" si="376"/>
        <v>0.17932934533864056</v>
      </c>
      <c r="K1605" s="33">
        <f t="shared" si="379"/>
        <v>2.6899401800796082E-2</v>
      </c>
      <c r="L1605" s="52"/>
      <c r="O1605" s="2">
        <f t="shared" si="381"/>
        <v>3.3582274407985127E-2</v>
      </c>
      <c r="P1605" s="2">
        <f t="shared" si="382"/>
        <v>24.17923757374929</v>
      </c>
      <c r="Q1605" s="7">
        <f t="shared" si="383"/>
        <v>109.50741654777758</v>
      </c>
      <c r="R1605" s="2">
        <v>1.2</v>
      </c>
      <c r="S1605" s="2">
        <f t="shared" si="377"/>
        <v>4.45</v>
      </c>
      <c r="T1605" s="2"/>
      <c r="U1605" s="2"/>
      <c r="Y1605" s="8">
        <f t="shared" si="378"/>
        <v>3.8984640291008819</v>
      </c>
    </row>
    <row r="1606" spans="1:25" x14ac:dyDescent="0.25">
      <c r="A1606" s="34">
        <f t="shared" si="397"/>
        <v>1598</v>
      </c>
      <c r="B1606" s="35">
        <f t="shared" si="397"/>
        <v>194</v>
      </c>
      <c r="C1606" s="50" t="s">
        <v>406</v>
      </c>
      <c r="D1606" s="51">
        <v>256</v>
      </c>
      <c r="E1606" s="51"/>
      <c r="F1606" s="36">
        <v>0.202956</v>
      </c>
      <c r="G1606" s="36">
        <f t="shared" si="398"/>
        <v>3.9982332000000002E-2</v>
      </c>
      <c r="H1606" s="36">
        <v>7.4338000000000001E-2</v>
      </c>
      <c r="I1606" s="37">
        <f t="shared" si="399"/>
        <v>1.11507E-2</v>
      </c>
      <c r="J1606" s="32">
        <f t="shared" si="376"/>
        <v>0.16540205000000002</v>
      </c>
      <c r="K1606" s="33">
        <f t="shared" si="379"/>
        <v>2.4810307500000003E-2</v>
      </c>
      <c r="L1606" s="52"/>
      <c r="O1606" s="2">
        <f t="shared" si="381"/>
        <v>3.0974166666666667E-2</v>
      </c>
      <c r="P1606" s="2">
        <f t="shared" si="382"/>
        <v>22.301400000000001</v>
      </c>
      <c r="Q1606" s="7">
        <f t="shared" si="383"/>
        <v>101.00271739130436</v>
      </c>
      <c r="R1606" s="2">
        <v>1.2</v>
      </c>
      <c r="S1606" s="2">
        <f t="shared" si="377"/>
        <v>4.45</v>
      </c>
      <c r="T1606" s="2"/>
      <c r="U1606" s="2"/>
      <c r="Y1606" s="8">
        <f t="shared" si="378"/>
        <v>3.5956967391304353</v>
      </c>
    </row>
    <row r="1607" spans="1:25" x14ac:dyDescent="0.25">
      <c r="A1607" s="34">
        <f t="shared" si="397"/>
        <v>1599</v>
      </c>
      <c r="B1607" s="35">
        <f t="shared" si="397"/>
        <v>195</v>
      </c>
      <c r="C1607" s="50" t="s">
        <v>406</v>
      </c>
      <c r="D1607" s="51">
        <v>258</v>
      </c>
      <c r="E1607" s="51"/>
      <c r="F1607" s="36">
        <v>0.22302</v>
      </c>
      <c r="G1607" s="36">
        <f t="shared" si="398"/>
        <v>4.3934939999999999E-2</v>
      </c>
      <c r="H1607" s="36">
        <v>0.11369</v>
      </c>
      <c r="I1607" s="37">
        <f t="shared" si="399"/>
        <v>1.7053499999999999E-2</v>
      </c>
      <c r="J1607" s="32">
        <f t="shared" si="376"/>
        <v>0.2103265</v>
      </c>
      <c r="K1607" s="33">
        <f t="shared" si="379"/>
        <v>3.1548975E-2</v>
      </c>
      <c r="L1607" s="52"/>
      <c r="O1607" s="2">
        <f t="shared" si="381"/>
        <v>4.7370833333333334E-2</v>
      </c>
      <c r="P1607" s="2">
        <f t="shared" si="382"/>
        <v>34.106999999999999</v>
      </c>
      <c r="Q1607" s="7">
        <f t="shared" si="383"/>
        <v>154.47010869565219</v>
      </c>
      <c r="R1607" s="2">
        <v>1.2</v>
      </c>
      <c r="S1607" s="2">
        <f t="shared" si="377"/>
        <v>3.7</v>
      </c>
      <c r="T1607" s="2"/>
      <c r="U1607" s="2"/>
      <c r="Y1607" s="8">
        <f t="shared" si="378"/>
        <v>4.5723152173913038</v>
      </c>
    </row>
    <row r="1608" spans="1:25" x14ac:dyDescent="0.25">
      <c r="A1608" s="34">
        <f t="shared" si="397"/>
        <v>1600</v>
      </c>
      <c r="B1608" s="35">
        <f t="shared" si="397"/>
        <v>196</v>
      </c>
      <c r="C1608" s="50" t="s">
        <v>406</v>
      </c>
      <c r="D1608" s="51">
        <v>300</v>
      </c>
      <c r="E1608" s="51"/>
      <c r="F1608" s="36">
        <v>0.145229</v>
      </c>
      <c r="G1608" s="36">
        <f t="shared" si="398"/>
        <v>2.8610113E-2</v>
      </c>
      <c r="H1608" s="36">
        <v>4.7101999999999998E-2</v>
      </c>
      <c r="I1608" s="37">
        <f t="shared" si="399"/>
        <v>7.0652999999999992E-3</v>
      </c>
      <c r="J1608" s="32">
        <f t="shared" si="376"/>
        <v>0.10480195</v>
      </c>
      <c r="K1608" s="33">
        <f t="shared" si="379"/>
        <v>1.57202925E-2</v>
      </c>
      <c r="L1608" s="52"/>
      <c r="O1608" s="2">
        <f t="shared" si="381"/>
        <v>1.9625833333333332E-2</v>
      </c>
      <c r="P1608" s="2">
        <f t="shared" si="382"/>
        <v>14.130599999999999</v>
      </c>
      <c r="Q1608" s="7">
        <f t="shared" si="383"/>
        <v>63.997282608695649</v>
      </c>
      <c r="R1608" s="2">
        <v>1.2</v>
      </c>
      <c r="S1608" s="2">
        <f t="shared" si="377"/>
        <v>4.45</v>
      </c>
      <c r="T1608" s="2"/>
      <c r="U1608" s="2"/>
      <c r="Y1608" s="8">
        <f t="shared" si="378"/>
        <v>2.2783032608695652</v>
      </c>
    </row>
    <row r="1609" spans="1:25" x14ac:dyDescent="0.25">
      <c r="A1609" s="34">
        <f t="shared" si="397"/>
        <v>1601</v>
      </c>
      <c r="B1609" s="35">
        <f t="shared" si="397"/>
        <v>197</v>
      </c>
      <c r="C1609" s="50" t="s">
        <v>407</v>
      </c>
      <c r="D1609" s="51">
        <v>170</v>
      </c>
      <c r="E1609" s="51"/>
      <c r="F1609" s="36">
        <v>0.12997</v>
      </c>
      <c r="G1609" s="36">
        <f t="shared" si="398"/>
        <v>2.5604090000000003E-2</v>
      </c>
      <c r="H1609" s="36">
        <v>3.8179999999999999E-2</v>
      </c>
      <c r="I1609" s="37">
        <f t="shared" si="399"/>
        <v>5.7269999999999995E-3</v>
      </c>
      <c r="J1609" s="32">
        <f t="shared" ref="J1609:J1672" si="400">O1609*R1609*S1609</f>
        <v>8.4950499999999998E-2</v>
      </c>
      <c r="K1609" s="33">
        <f t="shared" si="379"/>
        <v>1.2742574999999999E-2</v>
      </c>
      <c r="L1609" s="52"/>
      <c r="O1609" s="2">
        <f t="shared" si="381"/>
        <v>1.5908333333333333E-2</v>
      </c>
      <c r="P1609" s="2">
        <f t="shared" si="382"/>
        <v>11.454000000000001</v>
      </c>
      <c r="Q1609" s="7">
        <f t="shared" si="383"/>
        <v>51.875000000000007</v>
      </c>
      <c r="R1609" s="2">
        <v>1.2</v>
      </c>
      <c r="S1609" s="2">
        <f t="shared" ref="S1609:S1672" si="401">IF(Q1609&lt;=$AE$6,$AF$6,IF(Q1609&lt;=$AE$7,$AF$7,IF(Q1609&lt;=$AE$8,$AF$8,IF(Q1609&lt;=$AE$9,$AF$9,IF(Q1609&lt;=$AE$10,$AF$10,0)))))</f>
        <v>4.45</v>
      </c>
      <c r="T1609" s="2"/>
      <c r="U1609" s="2"/>
      <c r="Y1609" s="8">
        <f t="shared" ref="Y1609:Y1672" si="402">J1609/46*1000</f>
        <v>1.8467499999999999</v>
      </c>
    </row>
    <row r="1610" spans="1:25" x14ac:dyDescent="0.25">
      <c r="A1610" s="34">
        <f t="shared" si="397"/>
        <v>1602</v>
      </c>
      <c r="B1610" s="35">
        <f t="shared" si="397"/>
        <v>198</v>
      </c>
      <c r="C1610" s="50" t="s">
        <v>407</v>
      </c>
      <c r="D1610" s="51">
        <v>172</v>
      </c>
      <c r="E1610" s="51"/>
      <c r="F1610" s="36">
        <v>0.11554</v>
      </c>
      <c r="G1610" s="36">
        <f t="shared" si="398"/>
        <v>2.2761380000000001E-2</v>
      </c>
      <c r="H1610" s="36">
        <v>5.6129999999999999E-2</v>
      </c>
      <c r="I1610" s="37">
        <f t="shared" si="399"/>
        <v>8.4194999999999999E-3</v>
      </c>
      <c r="J1610" s="32">
        <f t="shared" si="400"/>
        <v>0.12488925000000002</v>
      </c>
      <c r="K1610" s="33">
        <f t="shared" ref="K1610:K1673" si="403">J1610*0.15</f>
        <v>1.8733387500000004E-2</v>
      </c>
      <c r="L1610" s="52"/>
      <c r="O1610" s="2">
        <f t="shared" si="381"/>
        <v>2.3387500000000002E-2</v>
      </c>
      <c r="P1610" s="2">
        <f t="shared" si="382"/>
        <v>16.839000000000002</v>
      </c>
      <c r="Q1610" s="7">
        <f t="shared" si="383"/>
        <v>76.263586956521749</v>
      </c>
      <c r="R1610" s="2">
        <v>1.2</v>
      </c>
      <c r="S1610" s="2">
        <f t="shared" si="401"/>
        <v>4.45</v>
      </c>
      <c r="T1610" s="2"/>
      <c r="U1610" s="2"/>
      <c r="Y1610" s="8">
        <f t="shared" si="402"/>
        <v>2.7149836956521747</v>
      </c>
    </row>
    <row r="1611" spans="1:25" x14ac:dyDescent="0.25">
      <c r="A1611" s="34">
        <f t="shared" ref="A1611:B1626" si="404">A1610+1</f>
        <v>1603</v>
      </c>
      <c r="B1611" s="35">
        <f t="shared" si="404"/>
        <v>199</v>
      </c>
      <c r="C1611" s="50" t="s">
        <v>407</v>
      </c>
      <c r="D1611" s="51">
        <v>174</v>
      </c>
      <c r="E1611" s="51"/>
      <c r="F1611" s="36">
        <v>0.16095000000000001</v>
      </c>
      <c r="G1611" s="36">
        <f t="shared" si="398"/>
        <v>3.1707150000000003E-2</v>
      </c>
      <c r="H1611" s="36">
        <v>7.1389999999999995E-2</v>
      </c>
      <c r="I1611" s="37">
        <f t="shared" si="399"/>
        <v>1.0708499999999999E-2</v>
      </c>
      <c r="J1611" s="32">
        <f t="shared" si="400"/>
        <v>0.15884275</v>
      </c>
      <c r="K1611" s="33">
        <f t="shared" si="403"/>
        <v>2.3826412500000001E-2</v>
      </c>
      <c r="L1611" s="52"/>
      <c r="O1611" s="2">
        <f t="shared" ref="O1611:O1674" si="405">H1611/2.4</f>
        <v>2.9745833333333332E-2</v>
      </c>
      <c r="P1611" s="2">
        <f t="shared" ref="P1611:P1674" si="406">O1611*24*30</f>
        <v>21.416999999999998</v>
      </c>
      <c r="Q1611" s="7">
        <f t="shared" ref="Q1611:Q1674" si="407">P1611/0.2208</f>
        <v>96.997282608695642</v>
      </c>
      <c r="R1611" s="2">
        <v>1.2</v>
      </c>
      <c r="S1611" s="2">
        <f t="shared" si="401"/>
        <v>4.45</v>
      </c>
      <c r="T1611" s="2"/>
      <c r="U1611" s="2"/>
      <c r="Y1611" s="8">
        <f t="shared" si="402"/>
        <v>3.4531032608695655</v>
      </c>
    </row>
    <row r="1612" spans="1:25" x14ac:dyDescent="0.25">
      <c r="A1612" s="34">
        <f t="shared" si="404"/>
        <v>1604</v>
      </c>
      <c r="B1612" s="35">
        <f t="shared" si="404"/>
        <v>200</v>
      </c>
      <c r="C1612" s="50" t="s">
        <v>407</v>
      </c>
      <c r="D1612" s="51">
        <v>176</v>
      </c>
      <c r="E1612" s="51"/>
      <c r="F1612" s="36">
        <v>9.5519999999999994E-2</v>
      </c>
      <c r="G1612" s="36">
        <f t="shared" si="398"/>
        <v>1.8817440000000001E-2</v>
      </c>
      <c r="H1612" s="36">
        <v>4.122E-2</v>
      </c>
      <c r="I1612" s="37">
        <f t="shared" si="399"/>
        <v>6.1830000000000001E-3</v>
      </c>
      <c r="J1612" s="32">
        <f t="shared" si="400"/>
        <v>9.1714500000000004E-2</v>
      </c>
      <c r="K1612" s="33">
        <f t="shared" si="403"/>
        <v>1.3757175E-2</v>
      </c>
      <c r="L1612" s="52"/>
      <c r="O1612" s="2">
        <f t="shared" si="405"/>
        <v>1.7174999999999999E-2</v>
      </c>
      <c r="P1612" s="2">
        <f t="shared" si="406"/>
        <v>12.366</v>
      </c>
      <c r="Q1612" s="7">
        <f t="shared" si="407"/>
        <v>56.005434782608695</v>
      </c>
      <c r="R1612" s="2">
        <v>1.2</v>
      </c>
      <c r="S1612" s="2">
        <f t="shared" si="401"/>
        <v>4.45</v>
      </c>
      <c r="T1612" s="2"/>
      <c r="U1612" s="2"/>
      <c r="Y1612" s="8">
        <f t="shared" si="402"/>
        <v>1.9937934782608695</v>
      </c>
    </row>
    <row r="1613" spans="1:25" x14ac:dyDescent="0.25">
      <c r="A1613" s="34">
        <f t="shared" si="404"/>
        <v>1605</v>
      </c>
      <c r="B1613" s="35">
        <f t="shared" si="404"/>
        <v>201</v>
      </c>
      <c r="C1613" s="50" t="s">
        <v>407</v>
      </c>
      <c r="D1613" s="51">
        <v>178</v>
      </c>
      <c r="E1613" s="51"/>
      <c r="F1613" s="36">
        <v>0.12361999999999999</v>
      </c>
      <c r="G1613" s="36">
        <f t="shared" si="398"/>
        <v>2.4353139999999999E-2</v>
      </c>
      <c r="H1613" s="36">
        <v>2.282E-2</v>
      </c>
      <c r="I1613" s="37">
        <f t="shared" si="399"/>
        <v>3.4229999999999998E-3</v>
      </c>
      <c r="J1613" s="32">
        <f t="shared" si="400"/>
        <v>5.07745E-2</v>
      </c>
      <c r="K1613" s="33">
        <f t="shared" si="403"/>
        <v>7.6161749999999993E-3</v>
      </c>
      <c r="L1613" s="52"/>
      <c r="O1613" s="2">
        <f t="shared" si="405"/>
        <v>9.5083333333333339E-3</v>
      </c>
      <c r="P1613" s="2">
        <f t="shared" si="406"/>
        <v>6.8460000000000001</v>
      </c>
      <c r="Q1613" s="7">
        <f t="shared" si="407"/>
        <v>31.005434782608695</v>
      </c>
      <c r="R1613" s="2">
        <v>1.2</v>
      </c>
      <c r="S1613" s="2">
        <f t="shared" si="401"/>
        <v>4.45</v>
      </c>
      <c r="T1613" s="2"/>
      <c r="U1613" s="2"/>
      <c r="Y1613" s="8">
        <f t="shared" si="402"/>
        <v>1.1037934782608696</v>
      </c>
    </row>
    <row r="1614" spans="1:25" x14ac:dyDescent="0.25">
      <c r="A1614" s="34">
        <f t="shared" si="404"/>
        <v>1606</v>
      </c>
      <c r="B1614" s="35">
        <f t="shared" si="404"/>
        <v>202</v>
      </c>
      <c r="C1614" s="50" t="s">
        <v>407</v>
      </c>
      <c r="D1614" s="51">
        <v>180</v>
      </c>
      <c r="E1614" s="51"/>
      <c r="F1614" s="36">
        <v>9.3719999999999998E-2</v>
      </c>
      <c r="G1614" s="36">
        <f t="shared" si="398"/>
        <v>1.8462840000000001E-2</v>
      </c>
      <c r="H1614" s="36">
        <v>3.1230000000000001E-2</v>
      </c>
      <c r="I1614" s="37">
        <f t="shared" si="399"/>
        <v>4.6845000000000003E-3</v>
      </c>
      <c r="J1614" s="32">
        <f t="shared" si="400"/>
        <v>6.948675E-2</v>
      </c>
      <c r="K1614" s="33">
        <f t="shared" si="403"/>
        <v>1.04230125E-2</v>
      </c>
      <c r="L1614" s="52"/>
      <c r="O1614" s="2">
        <f t="shared" si="405"/>
        <v>1.3012500000000001E-2</v>
      </c>
      <c r="P1614" s="2">
        <f t="shared" si="406"/>
        <v>9.3689999999999998</v>
      </c>
      <c r="Q1614" s="7">
        <f t="shared" si="407"/>
        <v>42.432065217391305</v>
      </c>
      <c r="R1614" s="2">
        <v>1.2</v>
      </c>
      <c r="S1614" s="2">
        <f t="shared" si="401"/>
        <v>4.45</v>
      </c>
      <c r="T1614" s="2"/>
      <c r="U1614" s="2"/>
      <c r="Y1614" s="8">
        <f t="shared" si="402"/>
        <v>1.5105815217391303</v>
      </c>
    </row>
    <row r="1615" spans="1:25" x14ac:dyDescent="0.25">
      <c r="A1615" s="34">
        <f t="shared" si="404"/>
        <v>1607</v>
      </c>
      <c r="B1615" s="35">
        <f t="shared" si="404"/>
        <v>203</v>
      </c>
      <c r="C1615" s="50" t="s">
        <v>407</v>
      </c>
      <c r="D1615" s="51">
        <v>182</v>
      </c>
      <c r="E1615" s="51"/>
      <c r="F1615" s="36">
        <f ca="1">SUM(F1615:F1615)</f>
        <v>0.11735000000000001</v>
      </c>
      <c r="G1615" s="36">
        <f ca="1">SUM(G1615:G1615)</f>
        <v>2.3117950000000002E-2</v>
      </c>
      <c r="H1615" s="36">
        <v>4.5019999999999998E-2</v>
      </c>
      <c r="I1615" s="37">
        <f ca="1">SUM(I1615:I1615)</f>
        <v>6.7529999999999995E-3</v>
      </c>
      <c r="J1615" s="32">
        <f t="shared" si="400"/>
        <v>0.10016949999999999</v>
      </c>
      <c r="K1615" s="33">
        <f t="shared" si="403"/>
        <v>1.5025424999999999E-2</v>
      </c>
      <c r="L1615" s="52"/>
      <c r="O1615" s="2">
        <f t="shared" si="405"/>
        <v>1.8758333333333332E-2</v>
      </c>
      <c r="P1615" s="2">
        <f t="shared" si="406"/>
        <v>13.505999999999998</v>
      </c>
      <c r="Q1615" s="7">
        <f t="shared" si="407"/>
        <v>61.168478260869563</v>
      </c>
      <c r="R1615" s="2">
        <v>1.2</v>
      </c>
      <c r="S1615" s="2">
        <f t="shared" si="401"/>
        <v>4.45</v>
      </c>
      <c r="T1615" s="2"/>
      <c r="U1615" s="2"/>
      <c r="Y1615" s="8">
        <f t="shared" si="402"/>
        <v>2.1775978260869566</v>
      </c>
    </row>
    <row r="1616" spans="1:25" x14ac:dyDescent="0.25">
      <c r="A1616" s="34">
        <f t="shared" si="404"/>
        <v>1608</v>
      </c>
      <c r="B1616" s="35">
        <f t="shared" si="404"/>
        <v>204</v>
      </c>
      <c r="C1616" s="50" t="s">
        <v>407</v>
      </c>
      <c r="D1616" s="51">
        <v>186</v>
      </c>
      <c r="E1616" s="51"/>
      <c r="F1616" s="36">
        <v>0.16955000000000001</v>
      </c>
      <c r="G1616" s="36">
        <f>F1616*0.197</f>
        <v>3.3401350000000003E-2</v>
      </c>
      <c r="H1616" s="36">
        <v>0.10451000000000001</v>
      </c>
      <c r="I1616" s="37">
        <f>H1616*0.15</f>
        <v>1.5676499999999999E-2</v>
      </c>
      <c r="J1616" s="32">
        <f t="shared" si="400"/>
        <v>0.23253475000000001</v>
      </c>
      <c r="K1616" s="33">
        <f t="shared" si="403"/>
        <v>3.48802125E-2</v>
      </c>
      <c r="L1616" s="52"/>
      <c r="O1616" s="2">
        <f t="shared" si="405"/>
        <v>4.3545833333333339E-2</v>
      </c>
      <c r="P1616" s="2">
        <f t="shared" si="406"/>
        <v>31.353000000000005</v>
      </c>
      <c r="Q1616" s="7">
        <f t="shared" si="407"/>
        <v>141.99728260869568</v>
      </c>
      <c r="R1616" s="2">
        <v>1.2</v>
      </c>
      <c r="S1616" s="2">
        <f t="shared" si="401"/>
        <v>4.45</v>
      </c>
      <c r="T1616" s="2"/>
      <c r="U1616" s="2"/>
      <c r="Y1616" s="8">
        <f t="shared" si="402"/>
        <v>5.0551032608695659</v>
      </c>
    </row>
    <row r="1617" spans="1:25" x14ac:dyDescent="0.25">
      <c r="A1617" s="34">
        <f t="shared" si="404"/>
        <v>1609</v>
      </c>
      <c r="B1617" s="35">
        <f t="shared" si="404"/>
        <v>205</v>
      </c>
      <c r="C1617" s="50" t="s">
        <v>407</v>
      </c>
      <c r="D1617" s="51">
        <v>194</v>
      </c>
      <c r="E1617" s="51"/>
      <c r="F1617" s="36">
        <v>0.13619000000000001</v>
      </c>
      <c r="G1617" s="36">
        <f>F1617*0.197</f>
        <v>2.6829430000000001E-2</v>
      </c>
      <c r="H1617" s="36">
        <v>6.7330000000000001E-2</v>
      </c>
      <c r="I1617" s="37">
        <f>H1617*0.15</f>
        <v>1.0099499999999999E-2</v>
      </c>
      <c r="J1617" s="32">
        <f t="shared" si="400"/>
        <v>0.14980925</v>
      </c>
      <c r="K1617" s="33">
        <f t="shared" si="403"/>
        <v>2.2471387499999999E-2</v>
      </c>
      <c r="L1617" s="52"/>
      <c r="O1617" s="2">
        <f t="shared" si="405"/>
        <v>2.8054166666666668E-2</v>
      </c>
      <c r="P1617" s="2">
        <f t="shared" si="406"/>
        <v>20.199000000000002</v>
      </c>
      <c r="Q1617" s="7">
        <f t="shared" si="407"/>
        <v>91.480978260869577</v>
      </c>
      <c r="R1617" s="2">
        <v>1.2</v>
      </c>
      <c r="S1617" s="2">
        <f t="shared" si="401"/>
        <v>4.45</v>
      </c>
      <c r="T1617" s="2"/>
      <c r="U1617" s="2"/>
      <c r="Y1617" s="8">
        <f t="shared" si="402"/>
        <v>3.256722826086957</v>
      </c>
    </row>
    <row r="1618" spans="1:25" x14ac:dyDescent="0.25">
      <c r="A1618" s="34">
        <f t="shared" si="404"/>
        <v>1610</v>
      </c>
      <c r="B1618" s="35">
        <f t="shared" si="404"/>
        <v>206</v>
      </c>
      <c r="C1618" s="50" t="s">
        <v>407</v>
      </c>
      <c r="D1618" s="51">
        <v>196</v>
      </c>
      <c r="E1618" s="51"/>
      <c r="F1618" s="36">
        <f t="shared" ref="F1618:I1619" ca="1" si="408">SUM(F1618:F1618)</f>
        <v>0.16914999999999999</v>
      </c>
      <c r="G1618" s="36">
        <f t="shared" ca="1" si="408"/>
        <v>3.3322549999999999E-2</v>
      </c>
      <c r="H1618" s="36">
        <v>7.1879999999999999E-2</v>
      </c>
      <c r="I1618" s="37">
        <f t="shared" ca="1" si="408"/>
        <v>1.0782449999999999E-2</v>
      </c>
      <c r="J1618" s="32">
        <f t="shared" si="400"/>
        <v>0.15993299999999999</v>
      </c>
      <c r="K1618" s="33">
        <f t="shared" si="403"/>
        <v>2.3989949999999999E-2</v>
      </c>
      <c r="L1618" s="52"/>
      <c r="O1618" s="2">
        <f t="shared" si="405"/>
        <v>2.9950000000000001E-2</v>
      </c>
      <c r="P1618" s="2">
        <f t="shared" si="406"/>
        <v>21.564</v>
      </c>
      <c r="Q1618" s="7">
        <f t="shared" si="407"/>
        <v>97.663043478260875</v>
      </c>
      <c r="R1618" s="2">
        <v>1.2</v>
      </c>
      <c r="S1618" s="2">
        <f t="shared" si="401"/>
        <v>4.45</v>
      </c>
      <c r="T1618" s="2"/>
      <c r="U1618" s="2"/>
      <c r="Y1618" s="8">
        <f t="shared" si="402"/>
        <v>3.476804347826087</v>
      </c>
    </row>
    <row r="1619" spans="1:25" x14ac:dyDescent="0.25">
      <c r="A1619" s="34">
        <f t="shared" si="404"/>
        <v>1611</v>
      </c>
      <c r="B1619" s="35">
        <f t="shared" si="404"/>
        <v>207</v>
      </c>
      <c r="C1619" s="50" t="s">
        <v>407</v>
      </c>
      <c r="D1619" s="51">
        <v>257</v>
      </c>
      <c r="E1619" s="51"/>
      <c r="F1619" s="36">
        <f t="shared" ca="1" si="408"/>
        <v>0.10561000000000001</v>
      </c>
      <c r="G1619" s="36">
        <f t="shared" ca="1" si="408"/>
        <v>2.0805170000000001E-2</v>
      </c>
      <c r="H1619" s="36">
        <v>3.3259999999999998E-2</v>
      </c>
      <c r="I1619" s="37">
        <f t="shared" ca="1" si="408"/>
        <v>4.9890000000000004E-3</v>
      </c>
      <c r="J1619" s="32">
        <f t="shared" si="400"/>
        <v>7.40035E-2</v>
      </c>
      <c r="K1619" s="33">
        <f t="shared" si="403"/>
        <v>1.1100525E-2</v>
      </c>
      <c r="L1619" s="52"/>
      <c r="O1619" s="2">
        <f t="shared" si="405"/>
        <v>1.3858333333333334E-2</v>
      </c>
      <c r="P1619" s="2">
        <f t="shared" si="406"/>
        <v>9.9779999999999998</v>
      </c>
      <c r="Q1619" s="7">
        <f t="shared" si="407"/>
        <v>45.190217391304344</v>
      </c>
      <c r="R1619" s="2">
        <v>1.2</v>
      </c>
      <c r="S1619" s="2">
        <f t="shared" si="401"/>
        <v>4.45</v>
      </c>
      <c r="T1619" s="2"/>
      <c r="U1619" s="2"/>
      <c r="Y1619" s="8">
        <f t="shared" si="402"/>
        <v>1.6087717391304348</v>
      </c>
    </row>
    <row r="1620" spans="1:25" x14ac:dyDescent="0.25">
      <c r="A1620" s="34">
        <f t="shared" si="404"/>
        <v>1612</v>
      </c>
      <c r="B1620" s="35">
        <f t="shared" si="404"/>
        <v>208</v>
      </c>
      <c r="C1620" s="50" t="s">
        <v>407</v>
      </c>
      <c r="D1620" s="51">
        <v>259</v>
      </c>
      <c r="E1620" s="51"/>
      <c r="F1620" s="36">
        <v>9.4920000000000004E-2</v>
      </c>
      <c r="G1620" s="36">
        <f>F1620*0.197</f>
        <v>1.8699240000000002E-2</v>
      </c>
      <c r="H1620" s="36">
        <v>4.301E-2</v>
      </c>
      <c r="I1620" s="37">
        <f>H1620*0.15</f>
        <v>6.4514999999999998E-3</v>
      </c>
      <c r="J1620" s="32">
        <f t="shared" si="400"/>
        <v>9.5697249999999998E-2</v>
      </c>
      <c r="K1620" s="33">
        <f t="shared" si="403"/>
        <v>1.4354587499999998E-2</v>
      </c>
      <c r="L1620" s="52"/>
      <c r="O1620" s="2">
        <f t="shared" si="405"/>
        <v>1.7920833333333334E-2</v>
      </c>
      <c r="P1620" s="2">
        <f t="shared" si="406"/>
        <v>12.903</v>
      </c>
      <c r="Q1620" s="7">
        <f t="shared" si="407"/>
        <v>58.4375</v>
      </c>
      <c r="R1620" s="2">
        <v>1.2</v>
      </c>
      <c r="S1620" s="2">
        <f t="shared" si="401"/>
        <v>4.45</v>
      </c>
      <c r="T1620" s="2"/>
      <c r="U1620" s="2"/>
      <c r="Y1620" s="8">
        <f t="shared" si="402"/>
        <v>2.0803749999999996</v>
      </c>
    </row>
    <row r="1621" spans="1:25" x14ac:dyDescent="0.25">
      <c r="A1621" s="34">
        <f t="shared" si="404"/>
        <v>1613</v>
      </c>
      <c r="B1621" s="35">
        <f t="shared" si="404"/>
        <v>209</v>
      </c>
      <c r="C1621" s="50" t="s">
        <v>407</v>
      </c>
      <c r="D1621" s="51">
        <v>261</v>
      </c>
      <c r="E1621" s="51"/>
      <c r="F1621" s="36">
        <f ca="1">SUM(F1621:F1621)</f>
        <v>0.10704</v>
      </c>
      <c r="G1621" s="36">
        <f ca="1">SUM(G1621:G1621)</f>
        <v>2.1086879999999999E-2</v>
      </c>
      <c r="H1621" s="36">
        <v>1.546E-2</v>
      </c>
      <c r="I1621" s="37">
        <f ca="1">SUM(I1621:I1621)</f>
        <v>2.3189999999999999E-3</v>
      </c>
      <c r="J1621" s="32">
        <f t="shared" si="400"/>
        <v>3.4398499999999999E-2</v>
      </c>
      <c r="K1621" s="33">
        <f t="shared" si="403"/>
        <v>5.1597749999999993E-3</v>
      </c>
      <c r="L1621" s="52"/>
      <c r="O1621" s="2">
        <f t="shared" si="405"/>
        <v>6.4416666666666667E-3</v>
      </c>
      <c r="P1621" s="2">
        <f t="shared" si="406"/>
        <v>4.6380000000000008</v>
      </c>
      <c r="Q1621" s="7">
        <f t="shared" si="407"/>
        <v>21.005434782608699</v>
      </c>
      <c r="R1621" s="2">
        <v>1.2</v>
      </c>
      <c r="S1621" s="2">
        <f t="shared" si="401"/>
        <v>4.45</v>
      </c>
      <c r="T1621" s="2"/>
      <c r="U1621" s="2"/>
      <c r="Y1621" s="8">
        <f t="shared" si="402"/>
        <v>0.74779347826086962</v>
      </c>
    </row>
    <row r="1622" spans="1:25" x14ac:dyDescent="0.25">
      <c r="A1622" s="34">
        <f t="shared" si="404"/>
        <v>1614</v>
      </c>
      <c r="B1622" s="35">
        <f t="shared" si="404"/>
        <v>210</v>
      </c>
      <c r="C1622" s="50" t="s">
        <v>407</v>
      </c>
      <c r="D1622" s="51">
        <v>271</v>
      </c>
      <c r="E1622" s="51"/>
      <c r="F1622" s="36">
        <v>0.13211000000000001</v>
      </c>
      <c r="G1622" s="36">
        <f>F1622*0.197</f>
        <v>2.6025670000000001E-2</v>
      </c>
      <c r="H1622" s="36">
        <v>8.2339999999999997E-2</v>
      </c>
      <c r="I1622" s="37">
        <f>H1622*0.15</f>
        <v>1.2350999999999999E-2</v>
      </c>
      <c r="J1622" s="32">
        <f t="shared" si="400"/>
        <v>0.18320650000000002</v>
      </c>
      <c r="K1622" s="33">
        <f t="shared" si="403"/>
        <v>2.7480975000000001E-2</v>
      </c>
      <c r="L1622" s="52"/>
      <c r="O1622" s="2">
        <f t="shared" si="405"/>
        <v>3.4308333333333337E-2</v>
      </c>
      <c r="P1622" s="2">
        <f t="shared" si="406"/>
        <v>24.702000000000005</v>
      </c>
      <c r="Q1622" s="7">
        <f t="shared" si="407"/>
        <v>111.87500000000003</v>
      </c>
      <c r="R1622" s="2">
        <v>1.2</v>
      </c>
      <c r="S1622" s="2">
        <f t="shared" si="401"/>
        <v>4.45</v>
      </c>
      <c r="T1622" s="2"/>
      <c r="U1622" s="2"/>
      <c r="Y1622" s="8">
        <f t="shared" si="402"/>
        <v>3.9827500000000002</v>
      </c>
    </row>
    <row r="1623" spans="1:25" x14ac:dyDescent="0.25">
      <c r="A1623" s="34">
        <f t="shared" si="404"/>
        <v>1615</v>
      </c>
      <c r="B1623" s="35">
        <f t="shared" si="404"/>
        <v>211</v>
      </c>
      <c r="C1623" s="50" t="s">
        <v>407</v>
      </c>
      <c r="D1623" s="51">
        <v>273</v>
      </c>
      <c r="E1623" s="51"/>
      <c r="F1623" s="36">
        <f t="shared" ref="F1623:I1624" ca="1" si="409">SUM(F1623:F1623)</f>
        <v>0.11001</v>
      </c>
      <c r="G1623" s="36">
        <f t="shared" ca="1" si="409"/>
        <v>2.1671969999999999E-2</v>
      </c>
      <c r="H1623" s="36">
        <v>0.10514</v>
      </c>
      <c r="I1623" s="37">
        <f t="shared" ca="1" si="409"/>
        <v>1.5770550000000001E-2</v>
      </c>
      <c r="J1623" s="32">
        <f t="shared" si="400"/>
        <v>0.23393649999999999</v>
      </c>
      <c r="K1623" s="33">
        <f t="shared" si="403"/>
        <v>3.5090474999999996E-2</v>
      </c>
      <c r="L1623" s="52"/>
      <c r="O1623" s="2">
        <f t="shared" si="405"/>
        <v>4.3808333333333331E-2</v>
      </c>
      <c r="P1623" s="2">
        <f t="shared" si="406"/>
        <v>31.541999999999998</v>
      </c>
      <c r="Q1623" s="7">
        <f t="shared" si="407"/>
        <v>142.85326086956522</v>
      </c>
      <c r="R1623" s="2">
        <v>1.2</v>
      </c>
      <c r="S1623" s="2">
        <f t="shared" si="401"/>
        <v>4.45</v>
      </c>
      <c r="T1623" s="2"/>
      <c r="U1623" s="2"/>
      <c r="Y1623" s="8">
        <f t="shared" si="402"/>
        <v>5.0855760869565216</v>
      </c>
    </row>
    <row r="1624" spans="1:25" x14ac:dyDescent="0.25">
      <c r="A1624" s="34">
        <f t="shared" si="404"/>
        <v>1616</v>
      </c>
      <c r="B1624" s="35">
        <f t="shared" si="404"/>
        <v>212</v>
      </c>
      <c r="C1624" s="50" t="s">
        <v>408</v>
      </c>
      <c r="D1624" s="51">
        <v>12</v>
      </c>
      <c r="E1624" s="51"/>
      <c r="F1624" s="36">
        <f t="shared" ca="1" si="409"/>
        <v>0.24419999999999997</v>
      </c>
      <c r="G1624" s="36">
        <f t="shared" ca="1" si="409"/>
        <v>4.8107400000000008E-2</v>
      </c>
      <c r="H1624" s="36">
        <v>0.15776000000000001</v>
      </c>
      <c r="I1624" s="37">
        <f t="shared" ca="1" si="409"/>
        <v>2.3649E-2</v>
      </c>
      <c r="J1624" s="32">
        <f t="shared" si="400"/>
        <v>0.29185600000000006</v>
      </c>
      <c r="K1624" s="33">
        <f t="shared" si="403"/>
        <v>4.3778400000000009E-2</v>
      </c>
      <c r="L1624" s="52"/>
      <c r="O1624" s="2">
        <f t="shared" si="405"/>
        <v>6.5733333333333338E-2</v>
      </c>
      <c r="P1624" s="2">
        <f t="shared" si="406"/>
        <v>47.328000000000003</v>
      </c>
      <c r="Q1624" s="7">
        <f t="shared" si="407"/>
        <v>214.34782608695653</v>
      </c>
      <c r="R1624" s="2">
        <v>1.2</v>
      </c>
      <c r="S1624" s="2">
        <f t="shared" si="401"/>
        <v>3.7</v>
      </c>
      <c r="T1624" s="2"/>
      <c r="U1624" s="2"/>
      <c r="Y1624" s="8">
        <f t="shared" si="402"/>
        <v>6.3446956521739146</v>
      </c>
    </row>
    <row r="1625" spans="1:25" x14ac:dyDescent="0.25">
      <c r="A1625" s="34">
        <f t="shared" si="404"/>
        <v>1617</v>
      </c>
      <c r="B1625" s="35">
        <f t="shared" si="404"/>
        <v>213</v>
      </c>
      <c r="C1625" s="50" t="s">
        <v>408</v>
      </c>
      <c r="D1625" s="51">
        <v>25</v>
      </c>
      <c r="E1625" s="51"/>
      <c r="F1625" s="36">
        <v>0.17413999999999999</v>
      </c>
      <c r="G1625" s="36">
        <f>F1625*0.197</f>
        <v>3.4305580000000002E-2</v>
      </c>
      <c r="H1625" s="36">
        <v>7.6543E-2</v>
      </c>
      <c r="I1625" s="37">
        <f>H1625*0.15</f>
        <v>1.1481449999999999E-2</v>
      </c>
      <c r="J1625" s="32">
        <f t="shared" si="400"/>
        <v>0.17030817500000001</v>
      </c>
      <c r="K1625" s="33">
        <f t="shared" si="403"/>
        <v>2.5546226250000002E-2</v>
      </c>
      <c r="L1625" s="52"/>
      <c r="O1625" s="2">
        <f t="shared" si="405"/>
        <v>3.1892916666666667E-2</v>
      </c>
      <c r="P1625" s="2">
        <f t="shared" si="406"/>
        <v>22.962900000000001</v>
      </c>
      <c r="Q1625" s="7">
        <f t="shared" si="407"/>
        <v>103.99864130434783</v>
      </c>
      <c r="R1625" s="2">
        <v>1.2</v>
      </c>
      <c r="S1625" s="2">
        <f t="shared" si="401"/>
        <v>4.45</v>
      </c>
      <c r="T1625" s="2"/>
      <c r="U1625" s="2"/>
      <c r="Y1625" s="8">
        <f t="shared" si="402"/>
        <v>3.7023516304347828</v>
      </c>
    </row>
    <row r="1626" spans="1:25" x14ac:dyDescent="0.25">
      <c r="A1626" s="34">
        <f t="shared" si="404"/>
        <v>1618</v>
      </c>
      <c r="B1626" s="35">
        <f t="shared" si="404"/>
        <v>214</v>
      </c>
      <c r="C1626" s="50" t="s">
        <v>408</v>
      </c>
      <c r="D1626" s="51">
        <v>27</v>
      </c>
      <c r="E1626" s="51"/>
      <c r="F1626" s="36">
        <v>0.13256000000000001</v>
      </c>
      <c r="G1626" s="36">
        <f>F1626*0.197</f>
        <v>2.6114320000000003E-2</v>
      </c>
      <c r="H1626" s="36">
        <v>5.2990000000000002E-2</v>
      </c>
      <c r="I1626" s="37">
        <f>H1626*0.15</f>
        <v>7.9485000000000007E-3</v>
      </c>
      <c r="J1626" s="32">
        <f t="shared" si="400"/>
        <v>0.11790275000000001</v>
      </c>
      <c r="K1626" s="33">
        <f t="shared" si="403"/>
        <v>1.7685412500000001E-2</v>
      </c>
      <c r="L1626" s="52"/>
      <c r="O1626" s="2">
        <f t="shared" si="405"/>
        <v>2.2079166666666667E-2</v>
      </c>
      <c r="P1626" s="2">
        <f t="shared" si="406"/>
        <v>15.897000000000002</v>
      </c>
      <c r="Q1626" s="7">
        <f t="shared" si="407"/>
        <v>71.997282608695656</v>
      </c>
      <c r="R1626" s="2">
        <v>1.2</v>
      </c>
      <c r="S1626" s="2">
        <f t="shared" si="401"/>
        <v>4.45</v>
      </c>
      <c r="T1626" s="2"/>
      <c r="U1626" s="2"/>
      <c r="Y1626" s="8">
        <f t="shared" si="402"/>
        <v>2.5631032608695659</v>
      </c>
    </row>
    <row r="1627" spans="1:25" x14ac:dyDescent="0.25">
      <c r="A1627" s="34">
        <f t="shared" ref="A1627:B1642" si="410">A1626+1</f>
        <v>1619</v>
      </c>
      <c r="B1627" s="35">
        <f t="shared" si="410"/>
        <v>215</v>
      </c>
      <c r="C1627" s="50" t="s">
        <v>408</v>
      </c>
      <c r="D1627" s="51">
        <v>55</v>
      </c>
      <c r="E1627" s="51"/>
      <c r="F1627" s="36">
        <v>0.15246199999999999</v>
      </c>
      <c r="G1627" s="36">
        <f>F1627*0.197</f>
        <v>3.0035013999999999E-2</v>
      </c>
      <c r="H1627" s="36">
        <v>6.8446000000000007E-2</v>
      </c>
      <c r="I1627" s="37">
        <f>H1627*0.15</f>
        <v>1.0266900000000001E-2</v>
      </c>
      <c r="J1627" s="32">
        <f t="shared" si="400"/>
        <v>0.15229235000000002</v>
      </c>
      <c r="K1627" s="33">
        <f t="shared" si="403"/>
        <v>2.2843852500000001E-2</v>
      </c>
      <c r="L1627" s="52"/>
      <c r="O1627" s="2">
        <f t="shared" si="405"/>
        <v>2.8519166666666672E-2</v>
      </c>
      <c r="P1627" s="2">
        <f t="shared" si="406"/>
        <v>20.533800000000003</v>
      </c>
      <c r="Q1627" s="7">
        <f t="shared" si="407"/>
        <v>92.99728260869567</v>
      </c>
      <c r="R1627" s="2">
        <v>1.2</v>
      </c>
      <c r="S1627" s="2">
        <f t="shared" si="401"/>
        <v>4.45</v>
      </c>
      <c r="T1627" s="2"/>
      <c r="U1627" s="2"/>
      <c r="Y1627" s="8">
        <f t="shared" si="402"/>
        <v>3.3107032608695657</v>
      </c>
    </row>
    <row r="1628" spans="1:25" x14ac:dyDescent="0.25">
      <c r="A1628" s="34">
        <f t="shared" si="410"/>
        <v>1620</v>
      </c>
      <c r="B1628" s="35">
        <f t="shared" si="410"/>
        <v>216</v>
      </c>
      <c r="C1628" s="42" t="s">
        <v>409</v>
      </c>
      <c r="D1628" s="43">
        <v>130</v>
      </c>
      <c r="E1628" s="43">
        <v>1</v>
      </c>
      <c r="F1628" s="36">
        <f t="shared" ref="F1628:I1629" ca="1" si="411">SUM(F1628:F1628)</f>
        <v>8.900000000000001E-2</v>
      </c>
      <c r="G1628" s="36">
        <f t="shared" ca="1" si="411"/>
        <v>1.7533000000000003E-2</v>
      </c>
      <c r="H1628" s="36">
        <v>0.1022</v>
      </c>
      <c r="I1628" s="37">
        <f t="shared" ca="1" si="411"/>
        <v>7.6799999999999985E-3</v>
      </c>
      <c r="J1628" s="32">
        <v>0</v>
      </c>
      <c r="K1628" s="33">
        <f t="shared" si="403"/>
        <v>0</v>
      </c>
      <c r="L1628" s="52"/>
      <c r="O1628" s="2">
        <f t="shared" si="405"/>
        <v>4.2583333333333334E-2</v>
      </c>
      <c r="P1628" s="2">
        <f t="shared" si="406"/>
        <v>30.66</v>
      </c>
      <c r="Q1628" s="7">
        <f t="shared" si="407"/>
        <v>138.85869565217391</v>
      </c>
      <c r="R1628" s="2">
        <v>1.2</v>
      </c>
      <c r="S1628" s="2">
        <f t="shared" si="401"/>
        <v>4.45</v>
      </c>
      <c r="T1628" s="2"/>
      <c r="U1628" s="2"/>
      <c r="Y1628" s="8">
        <f t="shared" si="402"/>
        <v>0</v>
      </c>
    </row>
    <row r="1629" spans="1:25" x14ac:dyDescent="0.25">
      <c r="A1629" s="34">
        <f t="shared" si="410"/>
        <v>1621</v>
      </c>
      <c r="B1629" s="35">
        <f t="shared" si="410"/>
        <v>217</v>
      </c>
      <c r="C1629" s="42" t="s">
        <v>409</v>
      </c>
      <c r="D1629" s="43">
        <v>134</v>
      </c>
      <c r="E1629" s="43"/>
      <c r="F1629" s="36">
        <f t="shared" ca="1" si="411"/>
        <v>8.7999999999999995E-2</v>
      </c>
      <c r="G1629" s="36">
        <f t="shared" ca="1" si="411"/>
        <v>1.7336000000000001E-2</v>
      </c>
      <c r="H1629" s="36">
        <v>2.5000000000000001E-2</v>
      </c>
      <c r="I1629" s="37">
        <f t="shared" ca="1" si="411"/>
        <v>3.7499999999999999E-3</v>
      </c>
      <c r="J1629" s="32">
        <f t="shared" si="400"/>
        <v>5.5625000000000008E-2</v>
      </c>
      <c r="K1629" s="33">
        <f t="shared" si="403"/>
        <v>8.3437500000000005E-3</v>
      </c>
      <c r="L1629" s="52"/>
      <c r="O1629" s="2">
        <f t="shared" si="405"/>
        <v>1.0416666666666668E-2</v>
      </c>
      <c r="P1629" s="2">
        <f t="shared" si="406"/>
        <v>7.5</v>
      </c>
      <c r="Q1629" s="7">
        <f t="shared" si="407"/>
        <v>33.967391304347828</v>
      </c>
      <c r="R1629" s="2">
        <v>1.2</v>
      </c>
      <c r="S1629" s="2">
        <f t="shared" si="401"/>
        <v>4.45</v>
      </c>
      <c r="T1629" s="2"/>
      <c r="U1629" s="2"/>
      <c r="Y1629" s="8">
        <f t="shared" si="402"/>
        <v>1.2092391304347827</v>
      </c>
    </row>
    <row r="1630" spans="1:25" x14ac:dyDescent="0.25">
      <c r="A1630" s="34">
        <f t="shared" si="410"/>
        <v>1622</v>
      </c>
      <c r="B1630" s="35">
        <f t="shared" si="410"/>
        <v>218</v>
      </c>
      <c r="C1630" s="42" t="s">
        <v>409</v>
      </c>
      <c r="D1630" s="43">
        <v>136</v>
      </c>
      <c r="E1630" s="43"/>
      <c r="F1630" s="36">
        <f ca="1">SUM(F1630:F1630)</f>
        <v>0.13800000000000001</v>
      </c>
      <c r="G1630" s="36">
        <f ca="1">SUM(G1630:G1630)</f>
        <v>2.7186000000000002E-2</v>
      </c>
      <c r="H1630" s="36">
        <v>4.7E-2</v>
      </c>
      <c r="I1630" s="37">
        <f ca="1">SUM(I1630:I1630)</f>
        <v>7.049999999999999E-3</v>
      </c>
      <c r="J1630" s="32">
        <f t="shared" si="400"/>
        <v>0.104575</v>
      </c>
      <c r="K1630" s="33">
        <f t="shared" si="403"/>
        <v>1.5686249999999999E-2</v>
      </c>
      <c r="L1630" s="52"/>
      <c r="O1630" s="2">
        <f t="shared" si="405"/>
        <v>1.9583333333333335E-2</v>
      </c>
      <c r="P1630" s="2">
        <f t="shared" si="406"/>
        <v>14.100000000000001</v>
      </c>
      <c r="Q1630" s="7">
        <f t="shared" si="407"/>
        <v>63.858695652173921</v>
      </c>
      <c r="R1630" s="2">
        <v>1.2</v>
      </c>
      <c r="S1630" s="2">
        <f t="shared" si="401"/>
        <v>4.45</v>
      </c>
      <c r="T1630" s="2"/>
      <c r="U1630" s="2"/>
      <c r="Y1630" s="8">
        <f t="shared" si="402"/>
        <v>2.2733695652173913</v>
      </c>
    </row>
    <row r="1631" spans="1:25" x14ac:dyDescent="0.25">
      <c r="A1631" s="34">
        <f t="shared" si="410"/>
        <v>1623</v>
      </c>
      <c r="B1631" s="35">
        <f t="shared" si="410"/>
        <v>219</v>
      </c>
      <c r="C1631" s="42" t="s">
        <v>409</v>
      </c>
      <c r="D1631" s="43">
        <v>146</v>
      </c>
      <c r="E1631" s="43"/>
      <c r="F1631" s="36">
        <f t="shared" ref="F1631:I1635" ca="1" si="412">SUM(F1631:F1631)</f>
        <v>0.109</v>
      </c>
      <c r="G1631" s="36">
        <f t="shared" ca="1" si="412"/>
        <v>2.1473000000000003E-2</v>
      </c>
      <c r="H1631" s="36">
        <v>4.9000000000000002E-2</v>
      </c>
      <c r="I1631" s="37">
        <f t="shared" ca="1" si="412"/>
        <v>7.3499999999999998E-3</v>
      </c>
      <c r="J1631" s="32">
        <f t="shared" si="400"/>
        <v>0.10902500000000002</v>
      </c>
      <c r="K1631" s="33">
        <f t="shared" si="403"/>
        <v>1.6353750000000004E-2</v>
      </c>
      <c r="L1631" s="52"/>
      <c r="O1631" s="2">
        <f t="shared" si="405"/>
        <v>2.041666666666667E-2</v>
      </c>
      <c r="P1631" s="2">
        <f t="shared" si="406"/>
        <v>14.700000000000003</v>
      </c>
      <c r="Q1631" s="7">
        <f t="shared" si="407"/>
        <v>66.576086956521749</v>
      </c>
      <c r="R1631" s="2">
        <v>1.2</v>
      </c>
      <c r="S1631" s="2">
        <f t="shared" si="401"/>
        <v>4.45</v>
      </c>
      <c r="T1631" s="2"/>
      <c r="U1631" s="2"/>
      <c r="Y1631" s="8">
        <f t="shared" si="402"/>
        <v>2.3701086956521746</v>
      </c>
    </row>
    <row r="1632" spans="1:25" x14ac:dyDescent="0.25">
      <c r="A1632" s="34">
        <f t="shared" si="410"/>
        <v>1624</v>
      </c>
      <c r="B1632" s="35">
        <f t="shared" si="410"/>
        <v>220</v>
      </c>
      <c r="C1632" s="42" t="s">
        <v>409</v>
      </c>
      <c r="D1632" s="53">
        <v>150</v>
      </c>
      <c r="E1632" s="53"/>
      <c r="F1632" s="36">
        <f t="shared" ca="1" si="412"/>
        <v>0.28000000000000003</v>
      </c>
      <c r="G1632" s="36">
        <f t="shared" ca="1" si="412"/>
        <v>5.4838999999999999E-2</v>
      </c>
      <c r="H1632" s="36">
        <v>0.221</v>
      </c>
      <c r="I1632" s="37">
        <f t="shared" ca="1" si="412"/>
        <v>3.2549999999999996E-2</v>
      </c>
      <c r="J1632" s="32">
        <f t="shared" si="400"/>
        <v>0.39227499999999998</v>
      </c>
      <c r="K1632" s="33">
        <f t="shared" si="403"/>
        <v>5.8841249999999998E-2</v>
      </c>
      <c r="L1632" s="52"/>
      <c r="O1632" s="2">
        <f t="shared" si="405"/>
        <v>9.2083333333333336E-2</v>
      </c>
      <c r="P1632" s="2">
        <f t="shared" si="406"/>
        <v>66.3</v>
      </c>
      <c r="Q1632" s="7">
        <f t="shared" si="407"/>
        <v>300.27173913043475</v>
      </c>
      <c r="R1632" s="2">
        <v>1.2</v>
      </c>
      <c r="S1632" s="2">
        <f t="shared" si="401"/>
        <v>3.55</v>
      </c>
      <c r="T1632" s="2"/>
      <c r="U1632" s="2"/>
      <c r="Y1632" s="8">
        <f t="shared" si="402"/>
        <v>8.527717391304348</v>
      </c>
    </row>
    <row r="1633" spans="1:25" x14ac:dyDescent="0.25">
      <c r="A1633" s="34">
        <f t="shared" si="410"/>
        <v>1625</v>
      </c>
      <c r="B1633" s="35">
        <f t="shared" si="410"/>
        <v>221</v>
      </c>
      <c r="C1633" s="42" t="s">
        <v>409</v>
      </c>
      <c r="D1633" s="43">
        <v>176</v>
      </c>
      <c r="E1633" s="43"/>
      <c r="F1633" s="36">
        <f t="shared" ca="1" si="412"/>
        <v>0.78700000000000003</v>
      </c>
      <c r="G1633" s="36">
        <f t="shared" ca="1" si="412"/>
        <v>0.15503900000000004</v>
      </c>
      <c r="H1633" s="36">
        <v>0.23499999999999999</v>
      </c>
      <c r="I1633" s="37">
        <f t="shared" ca="1" si="412"/>
        <v>3.5249999999999997E-2</v>
      </c>
      <c r="J1633" s="32">
        <f t="shared" si="400"/>
        <v>0.41712499999999997</v>
      </c>
      <c r="K1633" s="33">
        <f t="shared" si="403"/>
        <v>6.2568749999999992E-2</v>
      </c>
      <c r="L1633" s="24" t="s">
        <v>16</v>
      </c>
      <c r="O1633" s="2">
        <f t="shared" si="405"/>
        <v>9.7916666666666666E-2</v>
      </c>
      <c r="P1633" s="2">
        <f t="shared" si="406"/>
        <v>70.5</v>
      </c>
      <c r="Q1633" s="7">
        <f t="shared" si="407"/>
        <v>319.29347826086956</v>
      </c>
      <c r="R1633" s="2">
        <v>1.2</v>
      </c>
      <c r="S1633" s="2">
        <f t="shared" si="401"/>
        <v>3.55</v>
      </c>
      <c r="T1633" s="2"/>
      <c r="U1633" s="2"/>
      <c r="Y1633" s="8">
        <f t="shared" si="402"/>
        <v>9.0679347826086953</v>
      </c>
    </row>
    <row r="1634" spans="1:25" x14ac:dyDescent="0.25">
      <c r="A1634" s="34">
        <f t="shared" si="410"/>
        <v>1626</v>
      </c>
      <c r="B1634" s="35">
        <f t="shared" si="410"/>
        <v>222</v>
      </c>
      <c r="C1634" s="42" t="s">
        <v>409</v>
      </c>
      <c r="D1634" s="43">
        <v>182</v>
      </c>
      <c r="E1634" s="43"/>
      <c r="F1634" s="36">
        <f t="shared" ca="1" si="412"/>
        <v>0.219</v>
      </c>
      <c r="G1634" s="36">
        <f t="shared" ca="1" si="412"/>
        <v>4.3143000000000001E-2</v>
      </c>
      <c r="H1634" s="36">
        <v>0.09</v>
      </c>
      <c r="I1634" s="37">
        <f t="shared" ca="1" si="412"/>
        <v>1.3499999999999998E-2</v>
      </c>
      <c r="J1634" s="32">
        <f t="shared" si="400"/>
        <v>0.20025000000000001</v>
      </c>
      <c r="K1634" s="33">
        <f t="shared" si="403"/>
        <v>3.0037500000000002E-2</v>
      </c>
      <c r="L1634" s="52"/>
      <c r="O1634" s="2">
        <f t="shared" si="405"/>
        <v>3.7499999999999999E-2</v>
      </c>
      <c r="P1634" s="2">
        <f t="shared" si="406"/>
        <v>26.999999999999996</v>
      </c>
      <c r="Q1634" s="7">
        <f t="shared" si="407"/>
        <v>122.28260869565216</v>
      </c>
      <c r="R1634" s="2">
        <v>1.2</v>
      </c>
      <c r="S1634" s="2">
        <f t="shared" si="401"/>
        <v>4.45</v>
      </c>
      <c r="T1634" s="2"/>
      <c r="U1634" s="2"/>
      <c r="Y1634" s="8">
        <f t="shared" si="402"/>
        <v>4.3532608695652177</v>
      </c>
    </row>
    <row r="1635" spans="1:25" x14ac:dyDescent="0.25">
      <c r="A1635" s="34">
        <f t="shared" si="410"/>
        <v>1627</v>
      </c>
      <c r="B1635" s="35">
        <f t="shared" si="410"/>
        <v>223</v>
      </c>
      <c r="C1635" s="42" t="s">
        <v>409</v>
      </c>
      <c r="D1635" s="43">
        <v>214</v>
      </c>
      <c r="E1635" s="43"/>
      <c r="F1635" s="36">
        <v>0.20399999999999999</v>
      </c>
      <c r="G1635" s="36">
        <f t="shared" ca="1" si="412"/>
        <v>4.0103E-2</v>
      </c>
      <c r="H1635" s="36">
        <v>0.127</v>
      </c>
      <c r="I1635" s="37">
        <f t="shared" ca="1" si="412"/>
        <v>1.8750000000000003E-2</v>
      </c>
      <c r="J1635" s="32">
        <f t="shared" si="400"/>
        <v>0.23495000000000002</v>
      </c>
      <c r="K1635" s="33">
        <f t="shared" si="403"/>
        <v>3.5242500000000003E-2</v>
      </c>
      <c r="L1635" s="52"/>
      <c r="O1635" s="2">
        <f t="shared" si="405"/>
        <v>5.2916666666666667E-2</v>
      </c>
      <c r="P1635" s="2">
        <f t="shared" si="406"/>
        <v>38.1</v>
      </c>
      <c r="Q1635" s="7">
        <f t="shared" si="407"/>
        <v>172.55434782608697</v>
      </c>
      <c r="R1635" s="2">
        <v>1.2</v>
      </c>
      <c r="S1635" s="2">
        <f t="shared" si="401"/>
        <v>3.7</v>
      </c>
      <c r="T1635" s="2"/>
      <c r="U1635" s="2"/>
      <c r="Y1635" s="8">
        <f t="shared" si="402"/>
        <v>5.107608695652174</v>
      </c>
    </row>
    <row r="1636" spans="1:25" x14ac:dyDescent="0.25">
      <c r="A1636" s="34">
        <f t="shared" si="410"/>
        <v>1628</v>
      </c>
      <c r="B1636" s="35">
        <f t="shared" si="410"/>
        <v>224</v>
      </c>
      <c r="C1636" s="42" t="s">
        <v>410</v>
      </c>
      <c r="D1636" s="43">
        <v>67</v>
      </c>
      <c r="E1636" s="43"/>
      <c r="F1636" s="36">
        <v>0.22</v>
      </c>
      <c r="G1636" s="36">
        <f>F1636*0.197</f>
        <v>4.3340000000000004E-2</v>
      </c>
      <c r="H1636" s="36">
        <v>7.0000000000000007E-2</v>
      </c>
      <c r="I1636" s="37">
        <f>H1636*0.15</f>
        <v>1.0500000000000001E-2</v>
      </c>
      <c r="J1636" s="32">
        <f t="shared" si="400"/>
        <v>0.15575000000000003</v>
      </c>
      <c r="K1636" s="33">
        <f t="shared" si="403"/>
        <v>2.3362500000000005E-2</v>
      </c>
      <c r="L1636" s="52"/>
      <c r="O1636" s="2">
        <f t="shared" si="405"/>
        <v>2.9166666666666671E-2</v>
      </c>
      <c r="P1636" s="2">
        <f t="shared" si="406"/>
        <v>21.000000000000004</v>
      </c>
      <c r="Q1636" s="7">
        <f t="shared" si="407"/>
        <v>95.108695652173935</v>
      </c>
      <c r="R1636" s="2">
        <v>1.2</v>
      </c>
      <c r="S1636" s="2">
        <f t="shared" si="401"/>
        <v>4.45</v>
      </c>
      <c r="T1636" s="2"/>
      <c r="U1636" s="2"/>
      <c r="Y1636" s="8">
        <f t="shared" si="402"/>
        <v>3.385869565217392</v>
      </c>
    </row>
    <row r="1637" spans="1:25" x14ac:dyDescent="0.25">
      <c r="A1637" s="34">
        <f t="shared" si="410"/>
        <v>1629</v>
      </c>
      <c r="B1637" s="35">
        <f t="shared" si="410"/>
        <v>225</v>
      </c>
      <c r="C1637" s="42" t="s">
        <v>410</v>
      </c>
      <c r="D1637" s="43">
        <v>69</v>
      </c>
      <c r="E1637" s="43"/>
      <c r="F1637" s="36">
        <v>0.16</v>
      </c>
      <c r="G1637" s="36">
        <f>F1637*0.197</f>
        <v>3.1519999999999999E-2</v>
      </c>
      <c r="H1637" s="36">
        <v>5.1999999999999998E-2</v>
      </c>
      <c r="I1637" s="37">
        <f>H1637*0.15</f>
        <v>7.7999999999999996E-3</v>
      </c>
      <c r="J1637" s="32">
        <f t="shared" si="400"/>
        <v>0.1157</v>
      </c>
      <c r="K1637" s="33">
        <f t="shared" si="403"/>
        <v>1.7354999999999999E-2</v>
      </c>
      <c r="L1637" s="52"/>
      <c r="O1637" s="2">
        <f t="shared" si="405"/>
        <v>2.1666666666666667E-2</v>
      </c>
      <c r="P1637" s="2">
        <f t="shared" si="406"/>
        <v>15.600000000000001</v>
      </c>
      <c r="Q1637" s="7">
        <f t="shared" si="407"/>
        <v>70.652173913043484</v>
      </c>
      <c r="R1637" s="2">
        <v>1.2</v>
      </c>
      <c r="S1637" s="2">
        <f t="shared" si="401"/>
        <v>4.45</v>
      </c>
      <c r="T1637" s="2"/>
      <c r="U1637" s="2"/>
      <c r="Y1637" s="8">
        <f t="shared" si="402"/>
        <v>2.5152173913043474</v>
      </c>
    </row>
    <row r="1638" spans="1:25" x14ac:dyDescent="0.25">
      <c r="A1638" s="34">
        <f t="shared" si="410"/>
        <v>1630</v>
      </c>
      <c r="B1638" s="35">
        <f t="shared" si="410"/>
        <v>226</v>
      </c>
      <c r="C1638" s="42" t="s">
        <v>411</v>
      </c>
      <c r="D1638" s="43">
        <v>2</v>
      </c>
      <c r="E1638" s="43"/>
      <c r="F1638" s="36">
        <v>0.11</v>
      </c>
      <c r="G1638" s="36">
        <f>F1638*0.197</f>
        <v>2.1670000000000002E-2</v>
      </c>
      <c r="H1638" s="36">
        <v>5.2999999999999999E-2</v>
      </c>
      <c r="I1638" s="37">
        <f>H1638*0.15</f>
        <v>7.9499999999999987E-3</v>
      </c>
      <c r="J1638" s="32">
        <f t="shared" si="400"/>
        <v>0.117925</v>
      </c>
      <c r="K1638" s="33">
        <f t="shared" si="403"/>
        <v>1.768875E-2</v>
      </c>
      <c r="L1638" s="52"/>
      <c r="O1638" s="2">
        <f t="shared" si="405"/>
        <v>2.2083333333333333E-2</v>
      </c>
      <c r="P1638" s="2">
        <f t="shared" si="406"/>
        <v>15.9</v>
      </c>
      <c r="Q1638" s="7">
        <f t="shared" si="407"/>
        <v>72.010869565217391</v>
      </c>
      <c r="R1638" s="2">
        <v>1.2</v>
      </c>
      <c r="S1638" s="2">
        <f t="shared" si="401"/>
        <v>4.45</v>
      </c>
      <c r="T1638" s="2"/>
      <c r="U1638" s="2"/>
      <c r="Y1638" s="8">
        <f t="shared" si="402"/>
        <v>2.5635869565217391</v>
      </c>
    </row>
    <row r="1639" spans="1:25" x14ac:dyDescent="0.25">
      <c r="A1639" s="34">
        <f t="shared" si="410"/>
        <v>1631</v>
      </c>
      <c r="B1639" s="35">
        <f t="shared" si="410"/>
        <v>227</v>
      </c>
      <c r="C1639" s="42" t="s">
        <v>412</v>
      </c>
      <c r="D1639" s="43">
        <v>74</v>
      </c>
      <c r="E1639" s="43"/>
      <c r="F1639" s="36">
        <v>0.21</v>
      </c>
      <c r="G1639" s="36">
        <f>F1639*0.197</f>
        <v>4.1369999999999997E-2</v>
      </c>
      <c r="H1639" s="36">
        <v>9.7000000000000003E-2</v>
      </c>
      <c r="I1639" s="37">
        <f>H1639*0.15</f>
        <v>1.455E-2</v>
      </c>
      <c r="J1639" s="32">
        <f t="shared" si="400"/>
        <v>0.21582500000000002</v>
      </c>
      <c r="K1639" s="33">
        <f t="shared" si="403"/>
        <v>3.237375E-2</v>
      </c>
      <c r="L1639" s="52"/>
      <c r="O1639" s="2">
        <f t="shared" si="405"/>
        <v>4.041666666666667E-2</v>
      </c>
      <c r="P1639" s="2">
        <f t="shared" si="406"/>
        <v>29.1</v>
      </c>
      <c r="Q1639" s="7">
        <f t="shared" si="407"/>
        <v>131.79347826086956</v>
      </c>
      <c r="R1639" s="2">
        <v>1.2</v>
      </c>
      <c r="S1639" s="2">
        <f t="shared" si="401"/>
        <v>4.45</v>
      </c>
      <c r="T1639" s="2"/>
      <c r="U1639" s="2"/>
      <c r="Y1639" s="8">
        <f t="shared" si="402"/>
        <v>4.6918478260869563</v>
      </c>
    </row>
    <row r="1640" spans="1:25" x14ac:dyDescent="0.25">
      <c r="A1640" s="34">
        <f t="shared" si="410"/>
        <v>1632</v>
      </c>
      <c r="B1640" s="35">
        <f t="shared" si="410"/>
        <v>228</v>
      </c>
      <c r="C1640" s="42" t="s">
        <v>412</v>
      </c>
      <c r="D1640" s="43">
        <v>94</v>
      </c>
      <c r="E1640" s="43"/>
      <c r="F1640" s="36">
        <v>7.5999999999999998E-2</v>
      </c>
      <c r="G1640" s="36">
        <f>F1640*0.197</f>
        <v>1.4972000000000001E-2</v>
      </c>
      <c r="H1640" s="36">
        <v>2.9000000000000001E-2</v>
      </c>
      <c r="I1640" s="37">
        <f>H1640*0.15</f>
        <v>4.3499999999999997E-3</v>
      </c>
      <c r="J1640" s="32">
        <f t="shared" si="400"/>
        <v>6.4524999999999999E-2</v>
      </c>
      <c r="K1640" s="33">
        <f t="shared" si="403"/>
        <v>9.6787499999999999E-3</v>
      </c>
      <c r="L1640" s="24" t="s">
        <v>16</v>
      </c>
      <c r="O1640" s="2">
        <f t="shared" si="405"/>
        <v>1.2083333333333335E-2</v>
      </c>
      <c r="P1640" s="2">
        <f t="shared" si="406"/>
        <v>8.7000000000000011</v>
      </c>
      <c r="Q1640" s="7">
        <f t="shared" si="407"/>
        <v>39.402173913043484</v>
      </c>
      <c r="R1640" s="2">
        <v>1.2</v>
      </c>
      <c r="S1640" s="2">
        <f t="shared" si="401"/>
        <v>4.45</v>
      </c>
      <c r="T1640" s="2"/>
      <c r="U1640" s="2"/>
      <c r="Y1640" s="8">
        <f t="shared" si="402"/>
        <v>1.4027173913043478</v>
      </c>
    </row>
    <row r="1641" spans="1:25" x14ac:dyDescent="0.25">
      <c r="A1641" s="34">
        <f t="shared" si="410"/>
        <v>1633</v>
      </c>
      <c r="B1641" s="35">
        <f t="shared" si="410"/>
        <v>229</v>
      </c>
      <c r="C1641" s="42" t="s">
        <v>383</v>
      </c>
      <c r="D1641" s="43">
        <v>95</v>
      </c>
      <c r="E1641" s="43"/>
      <c r="F1641" s="36">
        <v>0.106</v>
      </c>
      <c r="G1641" s="36">
        <v>2.0799999999999999E-2</v>
      </c>
      <c r="H1641" s="36">
        <v>2.1000000000000001E-2</v>
      </c>
      <c r="I1641" s="37">
        <v>3.15E-3</v>
      </c>
      <c r="J1641" s="32">
        <f t="shared" si="400"/>
        <v>4.6725000000000003E-2</v>
      </c>
      <c r="K1641" s="33">
        <f t="shared" si="403"/>
        <v>7.0087500000000002E-3</v>
      </c>
      <c r="L1641" s="52"/>
      <c r="O1641" s="2">
        <f t="shared" si="405"/>
        <v>8.7500000000000008E-3</v>
      </c>
      <c r="P1641" s="2">
        <f t="shared" si="406"/>
        <v>6.3000000000000007</v>
      </c>
      <c r="Q1641" s="7">
        <f t="shared" si="407"/>
        <v>28.532608695652179</v>
      </c>
      <c r="R1641" s="2">
        <v>1.2</v>
      </c>
      <c r="S1641" s="2">
        <f t="shared" si="401"/>
        <v>4.45</v>
      </c>
      <c r="T1641" s="2"/>
      <c r="U1641" s="2"/>
      <c r="Y1641" s="8">
        <f t="shared" si="402"/>
        <v>1.0157608695652174</v>
      </c>
    </row>
    <row r="1642" spans="1:25" x14ac:dyDescent="0.25">
      <c r="A1642" s="34">
        <f t="shared" si="410"/>
        <v>1634</v>
      </c>
      <c r="B1642" s="35">
        <f t="shared" si="410"/>
        <v>230</v>
      </c>
      <c r="C1642" s="42" t="s">
        <v>383</v>
      </c>
      <c r="D1642" s="43">
        <v>101</v>
      </c>
      <c r="E1642" s="43"/>
      <c r="F1642" s="36">
        <v>0.04</v>
      </c>
      <c r="G1642" s="36">
        <f>F1642*0.197</f>
        <v>7.8799999999999999E-3</v>
      </c>
      <c r="H1642" s="36">
        <v>7.0000000000000001E-3</v>
      </c>
      <c r="I1642" s="37">
        <f>H1642*0.15</f>
        <v>1.0499999999999999E-3</v>
      </c>
      <c r="J1642" s="32">
        <f t="shared" si="400"/>
        <v>1.5575E-2</v>
      </c>
      <c r="K1642" s="33">
        <f t="shared" si="403"/>
        <v>2.3362499999999998E-3</v>
      </c>
      <c r="L1642" s="52"/>
      <c r="O1642" s="2">
        <f t="shared" si="405"/>
        <v>2.9166666666666668E-3</v>
      </c>
      <c r="P1642" s="2">
        <f t="shared" si="406"/>
        <v>2.1</v>
      </c>
      <c r="Q1642" s="7">
        <f t="shared" si="407"/>
        <v>9.5108695652173925</v>
      </c>
      <c r="R1642" s="2">
        <v>1.2</v>
      </c>
      <c r="S1642" s="2">
        <f t="shared" si="401"/>
        <v>4.45</v>
      </c>
      <c r="T1642" s="2"/>
      <c r="U1642" s="2"/>
      <c r="Y1642" s="8">
        <f t="shared" si="402"/>
        <v>0.33858695652173915</v>
      </c>
    </row>
    <row r="1643" spans="1:25" x14ac:dyDescent="0.25">
      <c r="A1643" s="34">
        <f t="shared" ref="A1643:B1658" si="413">A1642+1</f>
        <v>1635</v>
      </c>
      <c r="B1643" s="35">
        <f t="shared" si="413"/>
        <v>231</v>
      </c>
      <c r="C1643" s="42" t="s">
        <v>383</v>
      </c>
      <c r="D1643" s="43">
        <v>102</v>
      </c>
      <c r="E1643" s="43"/>
      <c r="F1643" s="36">
        <f t="shared" ref="F1643:I1645" ca="1" si="414">SUM(F1643:F1643)</f>
        <v>0.66799999999999993</v>
      </c>
      <c r="G1643" s="36">
        <f t="shared" ca="1" si="414"/>
        <v>0.13125999999999999</v>
      </c>
      <c r="H1643" s="36">
        <v>0.126</v>
      </c>
      <c r="I1643" s="37">
        <f t="shared" ca="1" si="414"/>
        <v>1.89E-2</v>
      </c>
      <c r="J1643" s="32">
        <f t="shared" si="400"/>
        <v>0.2331</v>
      </c>
      <c r="K1643" s="33">
        <f t="shared" si="403"/>
        <v>3.4964999999999996E-2</v>
      </c>
      <c r="L1643" s="52"/>
      <c r="O1643" s="2">
        <f t="shared" si="405"/>
        <v>5.2500000000000005E-2</v>
      </c>
      <c r="P1643" s="2">
        <f t="shared" si="406"/>
        <v>37.800000000000004</v>
      </c>
      <c r="Q1643" s="7">
        <f t="shared" si="407"/>
        <v>171.19565217391306</v>
      </c>
      <c r="R1643" s="2">
        <v>1.2</v>
      </c>
      <c r="S1643" s="2">
        <f t="shared" si="401"/>
        <v>3.7</v>
      </c>
      <c r="T1643" s="2"/>
      <c r="U1643" s="2"/>
      <c r="Y1643" s="8">
        <f t="shared" si="402"/>
        <v>5.0673913043478267</v>
      </c>
    </row>
    <row r="1644" spans="1:25" x14ac:dyDescent="0.25">
      <c r="A1644" s="34">
        <f t="shared" si="413"/>
        <v>1636</v>
      </c>
      <c r="B1644" s="35">
        <f t="shared" si="413"/>
        <v>232</v>
      </c>
      <c r="C1644" s="42" t="s">
        <v>383</v>
      </c>
      <c r="D1644" s="43">
        <v>104</v>
      </c>
      <c r="E1644" s="43"/>
      <c r="F1644" s="36">
        <f t="shared" ca="1" si="414"/>
        <v>0.19700000000000001</v>
      </c>
      <c r="G1644" s="36">
        <f t="shared" ca="1" si="414"/>
        <v>3.8808999999999996E-2</v>
      </c>
      <c r="H1644" s="36">
        <v>6.0999999999999999E-2</v>
      </c>
      <c r="I1644" s="37">
        <f t="shared" ca="1" si="414"/>
        <v>9.1500000000000001E-3</v>
      </c>
      <c r="J1644" s="32">
        <f t="shared" si="400"/>
        <v>0.13572500000000001</v>
      </c>
      <c r="K1644" s="33">
        <f t="shared" si="403"/>
        <v>2.0358750000000002E-2</v>
      </c>
      <c r="L1644" s="52"/>
      <c r="O1644" s="2">
        <f t="shared" si="405"/>
        <v>2.5416666666666667E-2</v>
      </c>
      <c r="P1644" s="2">
        <f t="shared" si="406"/>
        <v>18.3</v>
      </c>
      <c r="Q1644" s="7">
        <f t="shared" si="407"/>
        <v>82.880434782608702</v>
      </c>
      <c r="R1644" s="2">
        <v>1.2</v>
      </c>
      <c r="S1644" s="2">
        <f t="shared" si="401"/>
        <v>4.45</v>
      </c>
      <c r="T1644" s="2"/>
      <c r="U1644" s="2"/>
      <c r="Y1644" s="8">
        <f t="shared" si="402"/>
        <v>2.9505434782608697</v>
      </c>
    </row>
    <row r="1645" spans="1:25" x14ac:dyDescent="0.25">
      <c r="A1645" s="34">
        <f t="shared" si="413"/>
        <v>1637</v>
      </c>
      <c r="B1645" s="35">
        <f t="shared" si="413"/>
        <v>233</v>
      </c>
      <c r="C1645" s="42" t="s">
        <v>383</v>
      </c>
      <c r="D1645" s="43">
        <v>145</v>
      </c>
      <c r="E1645" s="43"/>
      <c r="F1645" s="36">
        <f t="shared" ca="1" si="414"/>
        <v>0.192</v>
      </c>
      <c r="G1645" s="36">
        <f t="shared" ca="1" si="414"/>
        <v>3.7824000000000003E-2</v>
      </c>
      <c r="H1645" s="36">
        <v>8.3799999999999999E-2</v>
      </c>
      <c r="I1645" s="37">
        <f t="shared" ca="1" si="414"/>
        <v>1.2570000000000001E-2</v>
      </c>
      <c r="J1645" s="32">
        <f t="shared" si="400"/>
        <v>0.18645500000000001</v>
      </c>
      <c r="K1645" s="33">
        <f t="shared" si="403"/>
        <v>2.796825E-2</v>
      </c>
      <c r="L1645" s="52"/>
      <c r="O1645" s="2">
        <f t="shared" si="405"/>
        <v>3.4916666666666665E-2</v>
      </c>
      <c r="P1645" s="2">
        <f t="shared" si="406"/>
        <v>25.14</v>
      </c>
      <c r="Q1645" s="7">
        <f t="shared" si="407"/>
        <v>113.85869565217392</v>
      </c>
      <c r="R1645" s="2">
        <v>1.2</v>
      </c>
      <c r="S1645" s="2">
        <f t="shared" si="401"/>
        <v>4.45</v>
      </c>
      <c r="T1645" s="2"/>
      <c r="U1645" s="2"/>
      <c r="Y1645" s="8">
        <f t="shared" si="402"/>
        <v>4.0533695652173911</v>
      </c>
    </row>
    <row r="1646" spans="1:25" x14ac:dyDescent="0.25">
      <c r="A1646" s="34">
        <f t="shared" si="413"/>
        <v>1638</v>
      </c>
      <c r="B1646" s="35">
        <f t="shared" si="413"/>
        <v>234</v>
      </c>
      <c r="C1646" s="42" t="s">
        <v>383</v>
      </c>
      <c r="D1646" s="43">
        <v>149</v>
      </c>
      <c r="E1646" s="43"/>
      <c r="F1646" s="36">
        <v>0.15</v>
      </c>
      <c r="G1646" s="36">
        <f>F1646*0.197</f>
        <v>2.955E-2</v>
      </c>
      <c r="H1646" s="36">
        <v>0.04</v>
      </c>
      <c r="I1646" s="37">
        <f>H1646*0.15</f>
        <v>6.0000000000000001E-3</v>
      </c>
      <c r="J1646" s="32">
        <f t="shared" si="400"/>
        <v>8.900000000000001E-2</v>
      </c>
      <c r="K1646" s="33">
        <f t="shared" si="403"/>
        <v>1.3350000000000001E-2</v>
      </c>
      <c r="L1646" s="52"/>
      <c r="O1646" s="2">
        <f t="shared" si="405"/>
        <v>1.6666666666666666E-2</v>
      </c>
      <c r="P1646" s="2">
        <f t="shared" si="406"/>
        <v>12</v>
      </c>
      <c r="Q1646" s="7">
        <f t="shared" si="407"/>
        <v>54.347826086956523</v>
      </c>
      <c r="R1646" s="2">
        <v>1.2</v>
      </c>
      <c r="S1646" s="2">
        <f t="shared" si="401"/>
        <v>4.45</v>
      </c>
      <c r="T1646" s="2"/>
      <c r="U1646" s="2"/>
      <c r="Y1646" s="8">
        <f t="shared" si="402"/>
        <v>1.9347826086956523</v>
      </c>
    </row>
    <row r="1647" spans="1:25" x14ac:dyDescent="0.25">
      <c r="A1647" s="34">
        <f t="shared" si="413"/>
        <v>1639</v>
      </c>
      <c r="B1647" s="35">
        <f t="shared" si="413"/>
        <v>235</v>
      </c>
      <c r="C1647" s="42" t="s">
        <v>413</v>
      </c>
      <c r="D1647" s="43">
        <v>328</v>
      </c>
      <c r="E1647" s="43">
        <v>1</v>
      </c>
      <c r="F1647" s="36">
        <f t="shared" ref="F1647:I1648" ca="1" si="415">SUM(F1647:F1647)</f>
        <v>0.19</v>
      </c>
      <c r="G1647" s="36">
        <f t="shared" ca="1" si="415"/>
        <v>3.7429999999999998E-2</v>
      </c>
      <c r="H1647" s="36">
        <v>2.4E-2</v>
      </c>
      <c r="I1647" s="37">
        <f t="shared" ca="1" si="415"/>
        <v>3.5999999999999999E-3</v>
      </c>
      <c r="J1647" s="32">
        <f t="shared" si="400"/>
        <v>5.3400000000000003E-2</v>
      </c>
      <c r="K1647" s="33">
        <f t="shared" si="403"/>
        <v>8.0099999999999998E-3</v>
      </c>
      <c r="L1647" s="52"/>
      <c r="O1647" s="2">
        <f t="shared" si="405"/>
        <v>0.01</v>
      </c>
      <c r="P1647" s="2">
        <f t="shared" si="406"/>
        <v>7.1999999999999993</v>
      </c>
      <c r="Q1647" s="7">
        <f t="shared" si="407"/>
        <v>32.608695652173907</v>
      </c>
      <c r="R1647" s="2">
        <v>1.2</v>
      </c>
      <c r="S1647" s="2">
        <f t="shared" si="401"/>
        <v>4.45</v>
      </c>
      <c r="T1647" s="2"/>
      <c r="U1647" s="2"/>
      <c r="Y1647" s="8">
        <f t="shared" si="402"/>
        <v>1.1608695652173915</v>
      </c>
    </row>
    <row r="1648" spans="1:25" x14ac:dyDescent="0.25">
      <c r="A1648" s="34">
        <f t="shared" si="413"/>
        <v>1640</v>
      </c>
      <c r="B1648" s="35">
        <f t="shared" si="413"/>
        <v>236</v>
      </c>
      <c r="C1648" s="42" t="s">
        <v>413</v>
      </c>
      <c r="D1648" s="53">
        <v>328</v>
      </c>
      <c r="E1648" s="53">
        <v>2</v>
      </c>
      <c r="F1648" s="36">
        <f t="shared" ca="1" si="415"/>
        <v>0.19</v>
      </c>
      <c r="G1648" s="36">
        <f t="shared" ca="1" si="415"/>
        <v>3.7429999999999998E-2</v>
      </c>
      <c r="H1648" s="36">
        <v>1.4E-2</v>
      </c>
      <c r="I1648" s="37">
        <f t="shared" ca="1" si="415"/>
        <v>2.0999999999999999E-3</v>
      </c>
      <c r="J1648" s="32">
        <f t="shared" si="400"/>
        <v>3.1150000000000001E-2</v>
      </c>
      <c r="K1648" s="33">
        <f t="shared" si="403"/>
        <v>4.6724999999999996E-3</v>
      </c>
      <c r="L1648" s="52"/>
      <c r="O1648" s="2">
        <f t="shared" si="405"/>
        <v>5.8333333333333336E-3</v>
      </c>
      <c r="P1648" s="2">
        <f t="shared" si="406"/>
        <v>4.2</v>
      </c>
      <c r="Q1648" s="7">
        <f t="shared" si="407"/>
        <v>19.021739130434785</v>
      </c>
      <c r="R1648" s="2">
        <v>1.2</v>
      </c>
      <c r="S1648" s="2">
        <f t="shared" si="401"/>
        <v>4.45</v>
      </c>
      <c r="T1648" s="2"/>
      <c r="U1648" s="2"/>
      <c r="Y1648" s="8">
        <f t="shared" si="402"/>
        <v>0.67717391304347829</v>
      </c>
    </row>
    <row r="1649" spans="1:25" x14ac:dyDescent="0.25">
      <c r="A1649" s="34">
        <f t="shared" si="413"/>
        <v>1641</v>
      </c>
      <c r="B1649" s="35">
        <f t="shared" si="413"/>
        <v>237</v>
      </c>
      <c r="C1649" s="42" t="s">
        <v>413</v>
      </c>
      <c r="D1649" s="43">
        <v>346</v>
      </c>
      <c r="E1649" s="43"/>
      <c r="F1649" s="36">
        <v>7.5999999999999998E-2</v>
      </c>
      <c r="G1649" s="36">
        <f t="shared" ref="G1649:G1658" si="416">F1649*0.197</f>
        <v>1.4972000000000001E-2</v>
      </c>
      <c r="H1649" s="36">
        <v>4.2000000000000003E-2</v>
      </c>
      <c r="I1649" s="37">
        <f t="shared" ref="I1649:I1654" si="417">H1649*0.15</f>
        <v>6.3E-3</v>
      </c>
      <c r="J1649" s="32">
        <f t="shared" si="400"/>
        <v>9.3450000000000005E-2</v>
      </c>
      <c r="K1649" s="33">
        <f t="shared" si="403"/>
        <v>1.40175E-2</v>
      </c>
      <c r="L1649" s="24" t="s">
        <v>16</v>
      </c>
      <c r="O1649" s="2">
        <f t="shared" si="405"/>
        <v>1.7500000000000002E-2</v>
      </c>
      <c r="P1649" s="2">
        <f t="shared" si="406"/>
        <v>12.600000000000001</v>
      </c>
      <c r="Q1649" s="7">
        <f t="shared" si="407"/>
        <v>57.065217391304358</v>
      </c>
      <c r="R1649" s="2">
        <v>1.2</v>
      </c>
      <c r="S1649" s="2">
        <f t="shared" si="401"/>
        <v>4.45</v>
      </c>
      <c r="T1649" s="2"/>
      <c r="U1649" s="2"/>
      <c r="Y1649" s="8">
        <f t="shared" si="402"/>
        <v>2.0315217391304348</v>
      </c>
    </row>
    <row r="1650" spans="1:25" x14ac:dyDescent="0.25">
      <c r="A1650" s="34">
        <f t="shared" si="413"/>
        <v>1642</v>
      </c>
      <c r="B1650" s="35">
        <f t="shared" si="413"/>
        <v>238</v>
      </c>
      <c r="C1650" s="42" t="s">
        <v>413</v>
      </c>
      <c r="D1650" s="43" t="s">
        <v>414</v>
      </c>
      <c r="E1650" s="43"/>
      <c r="F1650" s="36">
        <v>0.16</v>
      </c>
      <c r="G1650" s="36">
        <f t="shared" si="416"/>
        <v>3.1519999999999999E-2</v>
      </c>
      <c r="H1650" s="36">
        <v>7.8E-2</v>
      </c>
      <c r="I1650" s="37">
        <f t="shared" si="417"/>
        <v>1.17E-2</v>
      </c>
      <c r="J1650" s="32">
        <f t="shared" si="400"/>
        <v>0.17355000000000001</v>
      </c>
      <c r="K1650" s="33">
        <f t="shared" si="403"/>
        <v>2.60325E-2</v>
      </c>
      <c r="L1650" s="52"/>
      <c r="O1650" s="2">
        <f t="shared" si="405"/>
        <v>3.2500000000000001E-2</v>
      </c>
      <c r="P1650" s="2">
        <f t="shared" si="406"/>
        <v>23.400000000000002</v>
      </c>
      <c r="Q1650" s="7">
        <f t="shared" si="407"/>
        <v>105.97826086956523</v>
      </c>
      <c r="R1650" s="2">
        <v>1.2</v>
      </c>
      <c r="S1650" s="2">
        <f t="shared" si="401"/>
        <v>4.45</v>
      </c>
      <c r="T1650" s="2"/>
      <c r="U1650" s="2"/>
      <c r="Y1650" s="8">
        <f t="shared" si="402"/>
        <v>3.7728260869565218</v>
      </c>
    </row>
    <row r="1651" spans="1:25" x14ac:dyDescent="0.25">
      <c r="A1651" s="34">
        <f t="shared" si="413"/>
        <v>1643</v>
      </c>
      <c r="B1651" s="35">
        <f t="shared" si="413"/>
        <v>239</v>
      </c>
      <c r="C1651" s="42" t="s">
        <v>415</v>
      </c>
      <c r="D1651" s="43">
        <v>123</v>
      </c>
      <c r="E1651" s="43"/>
      <c r="F1651" s="36">
        <v>0.29599999999999999</v>
      </c>
      <c r="G1651" s="36">
        <f t="shared" si="416"/>
        <v>5.8312000000000003E-2</v>
      </c>
      <c r="H1651" s="36">
        <v>0.124</v>
      </c>
      <c r="I1651" s="37">
        <f t="shared" si="417"/>
        <v>1.8599999999999998E-2</v>
      </c>
      <c r="J1651" s="32">
        <f t="shared" si="400"/>
        <v>0.22940000000000002</v>
      </c>
      <c r="K1651" s="33">
        <f t="shared" si="403"/>
        <v>3.4410000000000003E-2</v>
      </c>
      <c r="L1651" s="52"/>
      <c r="O1651" s="2">
        <f t="shared" si="405"/>
        <v>5.1666666666666666E-2</v>
      </c>
      <c r="P1651" s="2">
        <f t="shared" si="406"/>
        <v>37.200000000000003</v>
      </c>
      <c r="Q1651" s="7">
        <f t="shared" si="407"/>
        <v>168.47826086956525</v>
      </c>
      <c r="R1651" s="2">
        <v>1.2</v>
      </c>
      <c r="S1651" s="2">
        <f t="shared" si="401"/>
        <v>3.7</v>
      </c>
      <c r="T1651" s="2"/>
      <c r="U1651" s="2"/>
      <c r="Y1651" s="8">
        <f t="shared" si="402"/>
        <v>4.9869565217391312</v>
      </c>
    </row>
    <row r="1652" spans="1:25" x14ac:dyDescent="0.25">
      <c r="A1652" s="34">
        <f t="shared" si="413"/>
        <v>1644</v>
      </c>
      <c r="B1652" s="35">
        <f t="shared" si="413"/>
        <v>240</v>
      </c>
      <c r="C1652" s="42" t="s">
        <v>415</v>
      </c>
      <c r="D1652" s="43">
        <v>125</v>
      </c>
      <c r="E1652" s="43"/>
      <c r="F1652" s="36">
        <v>0.121</v>
      </c>
      <c r="G1652" s="36">
        <f t="shared" si="416"/>
        <v>2.3837000000000001E-2</v>
      </c>
      <c r="H1652" s="36">
        <v>5.7000000000000002E-2</v>
      </c>
      <c r="I1652" s="37">
        <f t="shared" si="417"/>
        <v>8.5500000000000003E-3</v>
      </c>
      <c r="J1652" s="32">
        <f t="shared" si="400"/>
        <v>0.12682499999999999</v>
      </c>
      <c r="K1652" s="33">
        <f t="shared" si="403"/>
        <v>1.9023749999999999E-2</v>
      </c>
      <c r="L1652" s="52"/>
      <c r="O1652" s="2">
        <f t="shared" si="405"/>
        <v>2.375E-2</v>
      </c>
      <c r="P1652" s="2">
        <f t="shared" si="406"/>
        <v>17.100000000000001</v>
      </c>
      <c r="Q1652" s="7">
        <f t="shared" si="407"/>
        <v>77.445652173913047</v>
      </c>
      <c r="R1652" s="2">
        <v>1.2</v>
      </c>
      <c r="S1652" s="2">
        <f t="shared" si="401"/>
        <v>4.45</v>
      </c>
      <c r="T1652" s="2"/>
      <c r="U1652" s="2"/>
      <c r="Y1652" s="8">
        <f t="shared" si="402"/>
        <v>2.7570652173913039</v>
      </c>
    </row>
    <row r="1653" spans="1:25" x14ac:dyDescent="0.25">
      <c r="A1653" s="34">
        <f t="shared" si="413"/>
        <v>1645</v>
      </c>
      <c r="B1653" s="35">
        <f t="shared" si="413"/>
        <v>241</v>
      </c>
      <c r="C1653" s="42" t="s">
        <v>415</v>
      </c>
      <c r="D1653" s="43">
        <v>129</v>
      </c>
      <c r="E1653" s="43"/>
      <c r="F1653" s="36">
        <v>6.2E-2</v>
      </c>
      <c r="G1653" s="36">
        <f t="shared" si="416"/>
        <v>1.2214000000000001E-2</v>
      </c>
      <c r="H1653" s="36">
        <v>2.5999999999999999E-2</v>
      </c>
      <c r="I1653" s="37">
        <f t="shared" si="417"/>
        <v>3.8999999999999998E-3</v>
      </c>
      <c r="J1653" s="32">
        <f t="shared" si="400"/>
        <v>5.7849999999999999E-2</v>
      </c>
      <c r="K1653" s="33">
        <f t="shared" si="403"/>
        <v>8.6774999999999994E-3</v>
      </c>
      <c r="L1653" s="52"/>
      <c r="O1653" s="2">
        <f t="shared" si="405"/>
        <v>1.0833333333333334E-2</v>
      </c>
      <c r="P1653" s="2">
        <f t="shared" si="406"/>
        <v>7.8000000000000007</v>
      </c>
      <c r="Q1653" s="7">
        <f t="shared" si="407"/>
        <v>35.326086956521742</v>
      </c>
      <c r="R1653" s="2">
        <v>1.2</v>
      </c>
      <c r="S1653" s="2">
        <f t="shared" si="401"/>
        <v>4.45</v>
      </c>
      <c r="T1653" s="2"/>
      <c r="U1653" s="2"/>
      <c r="Y1653" s="8">
        <f t="shared" si="402"/>
        <v>1.2576086956521737</v>
      </c>
    </row>
    <row r="1654" spans="1:25" x14ac:dyDescent="0.25">
      <c r="A1654" s="34">
        <f t="shared" si="413"/>
        <v>1646</v>
      </c>
      <c r="B1654" s="35">
        <f t="shared" si="413"/>
        <v>242</v>
      </c>
      <c r="C1654" s="42" t="s">
        <v>415</v>
      </c>
      <c r="D1654" s="43">
        <v>305</v>
      </c>
      <c r="E1654" s="43"/>
      <c r="F1654" s="36">
        <v>0.09</v>
      </c>
      <c r="G1654" s="36">
        <f t="shared" si="416"/>
        <v>1.7729999999999999E-2</v>
      </c>
      <c r="H1654" s="36">
        <v>4.7E-2</v>
      </c>
      <c r="I1654" s="37">
        <f t="shared" si="417"/>
        <v>7.0499999999999998E-3</v>
      </c>
      <c r="J1654" s="32">
        <f t="shared" si="400"/>
        <v>0.104575</v>
      </c>
      <c r="K1654" s="33">
        <f t="shared" si="403"/>
        <v>1.5686249999999999E-2</v>
      </c>
      <c r="L1654" s="52"/>
      <c r="O1654" s="2">
        <f t="shared" si="405"/>
        <v>1.9583333333333335E-2</v>
      </c>
      <c r="P1654" s="2">
        <f t="shared" si="406"/>
        <v>14.100000000000001</v>
      </c>
      <c r="Q1654" s="7">
        <f t="shared" si="407"/>
        <v>63.858695652173921</v>
      </c>
      <c r="R1654" s="2">
        <v>1.2</v>
      </c>
      <c r="S1654" s="2">
        <f t="shared" si="401"/>
        <v>4.45</v>
      </c>
      <c r="T1654" s="2"/>
      <c r="U1654" s="2"/>
      <c r="Y1654" s="8">
        <f t="shared" si="402"/>
        <v>2.2733695652173913</v>
      </c>
    </row>
    <row r="1655" spans="1:25" x14ac:dyDescent="0.25">
      <c r="A1655" s="34">
        <f t="shared" si="413"/>
        <v>1647</v>
      </c>
      <c r="B1655" s="35">
        <f t="shared" si="413"/>
        <v>243</v>
      </c>
      <c r="C1655" s="42" t="s">
        <v>416</v>
      </c>
      <c r="D1655" s="43" t="s">
        <v>144</v>
      </c>
      <c r="E1655" s="43"/>
      <c r="F1655" s="36">
        <v>6.2E-2</v>
      </c>
      <c r="G1655" s="36">
        <f t="shared" si="416"/>
        <v>1.2214000000000001E-2</v>
      </c>
      <c r="H1655" s="36">
        <v>2.1999999999999999E-2</v>
      </c>
      <c r="I1655" s="37">
        <f>H1655*0.15</f>
        <v>3.2999999999999995E-3</v>
      </c>
      <c r="J1655" s="32">
        <f t="shared" si="400"/>
        <v>4.895E-2</v>
      </c>
      <c r="K1655" s="33">
        <f t="shared" si="403"/>
        <v>7.3425000000000001E-3</v>
      </c>
      <c r="L1655" s="52"/>
      <c r="O1655" s="2">
        <f t="shared" si="405"/>
        <v>9.1666666666666667E-3</v>
      </c>
      <c r="P1655" s="2">
        <f t="shared" si="406"/>
        <v>6.6</v>
      </c>
      <c r="Q1655" s="7">
        <f t="shared" si="407"/>
        <v>29.891304347826086</v>
      </c>
      <c r="R1655" s="2">
        <v>1.2</v>
      </c>
      <c r="S1655" s="2">
        <f t="shared" si="401"/>
        <v>4.45</v>
      </c>
      <c r="T1655" s="2"/>
      <c r="U1655" s="2"/>
      <c r="Y1655" s="8">
        <f t="shared" si="402"/>
        <v>1.0641304347826088</v>
      </c>
    </row>
    <row r="1656" spans="1:25" x14ac:dyDescent="0.25">
      <c r="A1656" s="34">
        <f t="shared" si="413"/>
        <v>1648</v>
      </c>
      <c r="B1656" s="35">
        <f t="shared" si="413"/>
        <v>244</v>
      </c>
      <c r="C1656" s="42" t="s">
        <v>416</v>
      </c>
      <c r="D1656" s="43" t="s">
        <v>388</v>
      </c>
      <c r="E1656" s="43"/>
      <c r="F1656" s="36">
        <v>6.0999999999999999E-2</v>
      </c>
      <c r="G1656" s="36">
        <f t="shared" si="416"/>
        <v>1.2017E-2</v>
      </c>
      <c r="H1656" s="36">
        <v>0.02</v>
      </c>
      <c r="I1656" s="37">
        <f>H1656*0.15</f>
        <v>3.0000000000000001E-3</v>
      </c>
      <c r="J1656" s="32">
        <f t="shared" si="400"/>
        <v>4.4500000000000005E-2</v>
      </c>
      <c r="K1656" s="33">
        <f t="shared" si="403"/>
        <v>6.6750000000000004E-3</v>
      </c>
      <c r="L1656" s="52"/>
      <c r="O1656" s="2">
        <f t="shared" si="405"/>
        <v>8.3333333333333332E-3</v>
      </c>
      <c r="P1656" s="2">
        <f t="shared" si="406"/>
        <v>6</v>
      </c>
      <c r="Q1656" s="7">
        <f t="shared" si="407"/>
        <v>27.173913043478262</v>
      </c>
      <c r="R1656" s="2">
        <v>1.2</v>
      </c>
      <c r="S1656" s="2">
        <f t="shared" si="401"/>
        <v>4.45</v>
      </c>
      <c r="T1656" s="2"/>
      <c r="U1656" s="2"/>
      <c r="Y1656" s="8">
        <f t="shared" si="402"/>
        <v>0.96739130434782616</v>
      </c>
    </row>
    <row r="1657" spans="1:25" x14ac:dyDescent="0.25">
      <c r="A1657" s="34">
        <f t="shared" si="413"/>
        <v>1649</v>
      </c>
      <c r="B1657" s="35">
        <f t="shared" si="413"/>
        <v>245</v>
      </c>
      <c r="C1657" s="42" t="s">
        <v>416</v>
      </c>
      <c r="D1657" s="43" t="s">
        <v>417</v>
      </c>
      <c r="E1657" s="43"/>
      <c r="F1657" s="36">
        <v>6.2E-2</v>
      </c>
      <c r="G1657" s="36">
        <f t="shared" si="416"/>
        <v>1.2214000000000001E-2</v>
      </c>
      <c r="H1657" s="36">
        <v>0.02</v>
      </c>
      <c r="I1657" s="37">
        <f>H1657*0.15</f>
        <v>3.0000000000000001E-3</v>
      </c>
      <c r="J1657" s="32">
        <f t="shared" si="400"/>
        <v>4.4500000000000005E-2</v>
      </c>
      <c r="K1657" s="33">
        <f t="shared" si="403"/>
        <v>6.6750000000000004E-3</v>
      </c>
      <c r="L1657" s="52"/>
      <c r="O1657" s="2">
        <f t="shared" si="405"/>
        <v>8.3333333333333332E-3</v>
      </c>
      <c r="P1657" s="2">
        <f t="shared" si="406"/>
        <v>6</v>
      </c>
      <c r="Q1657" s="7">
        <f t="shared" si="407"/>
        <v>27.173913043478262</v>
      </c>
      <c r="R1657" s="2">
        <v>1.2</v>
      </c>
      <c r="S1657" s="2">
        <f t="shared" si="401"/>
        <v>4.45</v>
      </c>
      <c r="T1657" s="2"/>
      <c r="U1657" s="2"/>
      <c r="Y1657" s="8">
        <f t="shared" si="402"/>
        <v>0.96739130434782616</v>
      </c>
    </row>
    <row r="1658" spans="1:25" x14ac:dyDescent="0.25">
      <c r="A1658" s="34">
        <f t="shared" si="413"/>
        <v>1650</v>
      </c>
      <c r="B1658" s="35">
        <f t="shared" si="413"/>
        <v>246</v>
      </c>
      <c r="C1658" s="42" t="s">
        <v>416</v>
      </c>
      <c r="D1658" s="43" t="s">
        <v>418</v>
      </c>
      <c r="E1658" s="43"/>
      <c r="F1658" s="36">
        <v>7.6999999999999999E-2</v>
      </c>
      <c r="G1658" s="36">
        <f t="shared" si="416"/>
        <v>1.5169E-2</v>
      </c>
      <c r="H1658" s="36">
        <v>1.9E-2</v>
      </c>
      <c r="I1658" s="37">
        <f>H1658*0.15</f>
        <v>2.8499999999999997E-3</v>
      </c>
      <c r="J1658" s="32">
        <f t="shared" si="400"/>
        <v>4.2275E-2</v>
      </c>
      <c r="K1658" s="33">
        <f t="shared" si="403"/>
        <v>6.3412499999999997E-3</v>
      </c>
      <c r="L1658" s="52"/>
      <c r="O1658" s="2">
        <f t="shared" si="405"/>
        <v>7.9166666666666673E-3</v>
      </c>
      <c r="P1658" s="2">
        <f t="shared" si="406"/>
        <v>5.7</v>
      </c>
      <c r="Q1658" s="7">
        <f t="shared" si="407"/>
        <v>25.815217391304348</v>
      </c>
      <c r="R1658" s="2">
        <v>1.2</v>
      </c>
      <c r="S1658" s="2">
        <f t="shared" si="401"/>
        <v>4.45</v>
      </c>
      <c r="T1658" s="2"/>
      <c r="U1658" s="2"/>
      <c r="Y1658" s="8">
        <f t="shared" si="402"/>
        <v>0.91902173913043483</v>
      </c>
    </row>
    <row r="1659" spans="1:25" x14ac:dyDescent="0.25">
      <c r="A1659" s="34">
        <f t="shared" ref="A1659:B1674" si="418">A1658+1</f>
        <v>1651</v>
      </c>
      <c r="B1659" s="35">
        <f t="shared" si="418"/>
        <v>247</v>
      </c>
      <c r="C1659" s="42" t="s">
        <v>416</v>
      </c>
      <c r="D1659" s="43">
        <v>8</v>
      </c>
      <c r="E1659" s="43"/>
      <c r="F1659" s="36">
        <f t="shared" ref="F1659:I1661" ca="1" si="419">SUM(F1659:F1659)</f>
        <v>0.23400000000000001</v>
      </c>
      <c r="G1659" s="36">
        <f t="shared" ca="1" si="419"/>
        <v>4.6098000000000007E-2</v>
      </c>
      <c r="H1659" s="36">
        <v>9.5000000000000001E-2</v>
      </c>
      <c r="I1659" s="37">
        <f t="shared" ca="1" si="419"/>
        <v>1.4249999999999999E-2</v>
      </c>
      <c r="J1659" s="32">
        <f t="shared" si="400"/>
        <v>0.21137500000000004</v>
      </c>
      <c r="K1659" s="33">
        <f t="shared" si="403"/>
        <v>3.1706250000000005E-2</v>
      </c>
      <c r="L1659" s="52"/>
      <c r="O1659" s="2">
        <f t="shared" si="405"/>
        <v>3.9583333333333338E-2</v>
      </c>
      <c r="P1659" s="2">
        <f t="shared" si="406"/>
        <v>28.500000000000007</v>
      </c>
      <c r="Q1659" s="7">
        <f t="shared" si="407"/>
        <v>129.07608695652178</v>
      </c>
      <c r="R1659" s="2">
        <v>1.2</v>
      </c>
      <c r="S1659" s="2">
        <f t="shared" si="401"/>
        <v>4.45</v>
      </c>
      <c r="T1659" s="2"/>
      <c r="U1659" s="2"/>
      <c r="Y1659" s="8">
        <f t="shared" si="402"/>
        <v>4.5951086956521747</v>
      </c>
    </row>
    <row r="1660" spans="1:25" x14ac:dyDescent="0.25">
      <c r="A1660" s="34">
        <f t="shared" si="418"/>
        <v>1652</v>
      </c>
      <c r="B1660" s="35">
        <f t="shared" si="418"/>
        <v>248</v>
      </c>
      <c r="C1660" s="42" t="s">
        <v>416</v>
      </c>
      <c r="D1660" s="43">
        <v>18</v>
      </c>
      <c r="E1660" s="43"/>
      <c r="F1660" s="36">
        <f t="shared" ca="1" si="419"/>
        <v>0.13600000000000001</v>
      </c>
      <c r="G1660" s="36">
        <f t="shared" ca="1" si="419"/>
        <v>2.6792000000000003E-2</v>
      </c>
      <c r="H1660" s="36">
        <v>5.4399999999999997E-2</v>
      </c>
      <c r="I1660" s="37">
        <f t="shared" ca="1" si="419"/>
        <v>8.1599999999999989E-3</v>
      </c>
      <c r="J1660" s="32">
        <f t="shared" si="400"/>
        <v>0.12103999999999999</v>
      </c>
      <c r="K1660" s="33">
        <f t="shared" si="403"/>
        <v>1.8155999999999999E-2</v>
      </c>
      <c r="L1660" s="52"/>
      <c r="O1660" s="2">
        <f t="shared" si="405"/>
        <v>2.2666666666666665E-2</v>
      </c>
      <c r="P1660" s="2">
        <f t="shared" si="406"/>
        <v>16.319999999999997</v>
      </c>
      <c r="Q1660" s="7">
        <f t="shared" si="407"/>
        <v>73.91304347826086</v>
      </c>
      <c r="R1660" s="2">
        <v>1.2</v>
      </c>
      <c r="S1660" s="2">
        <f t="shared" si="401"/>
        <v>4.45</v>
      </c>
      <c r="T1660" s="2"/>
      <c r="U1660" s="2"/>
      <c r="Y1660" s="8">
        <f t="shared" si="402"/>
        <v>2.6313043478260871</v>
      </c>
    </row>
    <row r="1661" spans="1:25" x14ac:dyDescent="0.25">
      <c r="A1661" s="34">
        <f t="shared" si="418"/>
        <v>1653</v>
      </c>
      <c r="B1661" s="35">
        <f t="shared" si="418"/>
        <v>249</v>
      </c>
      <c r="C1661" s="42" t="s">
        <v>416</v>
      </c>
      <c r="D1661" s="43">
        <v>20</v>
      </c>
      <c r="E1661" s="43"/>
      <c r="F1661" s="36">
        <f ca="1">SUM(F1661:F1661)</f>
        <v>0.155</v>
      </c>
      <c r="G1661" s="36">
        <f t="shared" ca="1" si="419"/>
        <v>3.0535000000000003E-2</v>
      </c>
      <c r="H1661" s="36">
        <v>5.0999999999999997E-2</v>
      </c>
      <c r="I1661" s="37">
        <f t="shared" ca="1" si="419"/>
        <v>7.6499999999999997E-3</v>
      </c>
      <c r="J1661" s="32">
        <f t="shared" si="400"/>
        <v>0.11347499999999999</v>
      </c>
      <c r="K1661" s="33">
        <f t="shared" si="403"/>
        <v>1.7021249999999998E-2</v>
      </c>
      <c r="L1661" s="52"/>
      <c r="O1661" s="2">
        <f t="shared" si="405"/>
        <v>2.1249999999999998E-2</v>
      </c>
      <c r="P1661" s="2">
        <f t="shared" si="406"/>
        <v>15.3</v>
      </c>
      <c r="Q1661" s="7">
        <f t="shared" si="407"/>
        <v>69.293478260869563</v>
      </c>
      <c r="R1661" s="2">
        <v>1.2</v>
      </c>
      <c r="S1661" s="2">
        <f t="shared" si="401"/>
        <v>4.45</v>
      </c>
      <c r="T1661" s="2"/>
      <c r="U1661" s="2"/>
      <c r="Y1661" s="8">
        <f t="shared" si="402"/>
        <v>2.4668478260869566</v>
      </c>
    </row>
    <row r="1662" spans="1:25" ht="30" x14ac:dyDescent="0.25">
      <c r="A1662" s="34">
        <f t="shared" si="418"/>
        <v>1654</v>
      </c>
      <c r="B1662" s="35">
        <f t="shared" si="418"/>
        <v>250</v>
      </c>
      <c r="C1662" s="42" t="s">
        <v>416</v>
      </c>
      <c r="D1662" s="42" t="s">
        <v>419</v>
      </c>
      <c r="E1662" s="43"/>
      <c r="F1662" s="36">
        <v>0.17100000000000001</v>
      </c>
      <c r="G1662" s="36">
        <f>F1662*0.197</f>
        <v>3.3687000000000002E-2</v>
      </c>
      <c r="H1662" s="36">
        <v>0.03</v>
      </c>
      <c r="I1662" s="37">
        <f>H1662*0.15</f>
        <v>4.4999999999999997E-3</v>
      </c>
      <c r="J1662" s="32">
        <f t="shared" si="400"/>
        <v>6.6750000000000004E-2</v>
      </c>
      <c r="K1662" s="33">
        <f t="shared" si="403"/>
        <v>1.0012500000000001E-2</v>
      </c>
      <c r="L1662" s="52"/>
      <c r="O1662" s="2">
        <f t="shared" si="405"/>
        <v>1.2500000000000001E-2</v>
      </c>
      <c r="P1662" s="2">
        <f t="shared" si="406"/>
        <v>9.0000000000000018</v>
      </c>
      <c r="Q1662" s="7">
        <f t="shared" si="407"/>
        <v>40.760869565217398</v>
      </c>
      <c r="R1662" s="2">
        <v>1.2</v>
      </c>
      <c r="S1662" s="2">
        <f t="shared" si="401"/>
        <v>4.45</v>
      </c>
      <c r="T1662" s="2"/>
      <c r="U1662" s="2"/>
      <c r="Y1662" s="8">
        <f t="shared" si="402"/>
        <v>1.4510869565217392</v>
      </c>
    </row>
    <row r="1663" spans="1:25" ht="30" x14ac:dyDescent="0.25">
      <c r="A1663" s="34">
        <f t="shared" si="418"/>
        <v>1655</v>
      </c>
      <c r="B1663" s="35">
        <f t="shared" si="418"/>
        <v>251</v>
      </c>
      <c r="C1663" s="42" t="s">
        <v>416</v>
      </c>
      <c r="D1663" s="42" t="s">
        <v>420</v>
      </c>
      <c r="E1663" s="43"/>
      <c r="F1663" s="36">
        <v>0.23</v>
      </c>
      <c r="G1663" s="36">
        <f>F1663*0.197</f>
        <v>4.5310000000000003E-2</v>
      </c>
      <c r="H1663" s="36">
        <v>6.0999999999999999E-2</v>
      </c>
      <c r="I1663" s="37">
        <f>H1663*0.15</f>
        <v>9.1500000000000001E-3</v>
      </c>
      <c r="J1663" s="32">
        <f t="shared" si="400"/>
        <v>0.13572500000000001</v>
      </c>
      <c r="K1663" s="33">
        <f t="shared" si="403"/>
        <v>2.0358750000000002E-2</v>
      </c>
      <c r="L1663" s="52"/>
      <c r="O1663" s="2">
        <f t="shared" si="405"/>
        <v>2.5416666666666667E-2</v>
      </c>
      <c r="P1663" s="2">
        <f t="shared" si="406"/>
        <v>18.3</v>
      </c>
      <c r="Q1663" s="7">
        <f t="shared" si="407"/>
        <v>82.880434782608702</v>
      </c>
      <c r="R1663" s="2">
        <v>1.2</v>
      </c>
      <c r="S1663" s="2">
        <f t="shared" si="401"/>
        <v>4.45</v>
      </c>
      <c r="T1663" s="2"/>
      <c r="U1663" s="2"/>
      <c r="Y1663" s="8">
        <f t="shared" si="402"/>
        <v>2.9505434782608697</v>
      </c>
    </row>
    <row r="1664" spans="1:25" x14ac:dyDescent="0.25">
      <c r="A1664" s="34">
        <f t="shared" si="418"/>
        <v>1656</v>
      </c>
      <c r="B1664" s="35">
        <f t="shared" si="418"/>
        <v>252</v>
      </c>
      <c r="C1664" s="42" t="s">
        <v>416</v>
      </c>
      <c r="D1664" s="43">
        <v>60</v>
      </c>
      <c r="E1664" s="43">
        <v>1</v>
      </c>
      <c r="F1664" s="36">
        <v>0.10299999999999999</v>
      </c>
      <c r="G1664" s="36">
        <v>1.01E-2</v>
      </c>
      <c r="H1664" s="36">
        <v>5.7000000000000002E-3</v>
      </c>
      <c r="I1664" s="37">
        <v>4.4999999999999999E-4</v>
      </c>
      <c r="J1664" s="32">
        <f t="shared" si="400"/>
        <v>1.2682500000000003E-2</v>
      </c>
      <c r="K1664" s="33">
        <f t="shared" si="403"/>
        <v>1.9023750000000004E-3</v>
      </c>
      <c r="L1664" s="52"/>
      <c r="O1664" s="2">
        <f t="shared" si="405"/>
        <v>2.3750000000000004E-3</v>
      </c>
      <c r="P1664" s="2">
        <f t="shared" si="406"/>
        <v>1.7100000000000002</v>
      </c>
      <c r="Q1664" s="7">
        <f t="shared" si="407"/>
        <v>7.7445652173913055</v>
      </c>
      <c r="R1664" s="2">
        <v>1.2</v>
      </c>
      <c r="S1664" s="2">
        <f t="shared" si="401"/>
        <v>4.45</v>
      </c>
      <c r="T1664" s="2"/>
      <c r="U1664" s="2"/>
      <c r="Y1664" s="8">
        <f t="shared" si="402"/>
        <v>0.27570652173913046</v>
      </c>
    </row>
    <row r="1665" spans="1:25" x14ac:dyDescent="0.25">
      <c r="A1665" s="34">
        <f t="shared" si="418"/>
        <v>1657</v>
      </c>
      <c r="B1665" s="35">
        <f t="shared" si="418"/>
        <v>253</v>
      </c>
      <c r="C1665" s="42" t="s">
        <v>416</v>
      </c>
      <c r="D1665" s="43">
        <v>60</v>
      </c>
      <c r="E1665" s="43">
        <v>2</v>
      </c>
      <c r="F1665" s="36">
        <v>0.10299999999999999</v>
      </c>
      <c r="G1665" s="36">
        <v>1.01E-2</v>
      </c>
      <c r="H1665" s="36">
        <v>5.7000000000000002E-3</v>
      </c>
      <c r="I1665" s="37">
        <v>4.4999999999999999E-4</v>
      </c>
      <c r="J1665" s="32">
        <f t="shared" si="400"/>
        <v>1.2682500000000003E-2</v>
      </c>
      <c r="K1665" s="33">
        <f t="shared" si="403"/>
        <v>1.9023750000000004E-3</v>
      </c>
      <c r="L1665" s="52"/>
      <c r="O1665" s="2">
        <f t="shared" si="405"/>
        <v>2.3750000000000004E-3</v>
      </c>
      <c r="P1665" s="2">
        <f t="shared" si="406"/>
        <v>1.7100000000000002</v>
      </c>
      <c r="Q1665" s="7">
        <f t="shared" si="407"/>
        <v>7.7445652173913055</v>
      </c>
      <c r="R1665" s="2">
        <v>1.2</v>
      </c>
      <c r="S1665" s="2">
        <f t="shared" si="401"/>
        <v>4.45</v>
      </c>
      <c r="T1665" s="2"/>
      <c r="U1665" s="2"/>
      <c r="Y1665" s="8">
        <f t="shared" si="402"/>
        <v>0.27570652173913046</v>
      </c>
    </row>
    <row r="1666" spans="1:25" x14ac:dyDescent="0.25">
      <c r="A1666" s="34">
        <f t="shared" si="418"/>
        <v>1658</v>
      </c>
      <c r="B1666" s="35">
        <f t="shared" si="418"/>
        <v>254</v>
      </c>
      <c r="C1666" s="42" t="s">
        <v>416</v>
      </c>
      <c r="D1666" s="43">
        <v>78</v>
      </c>
      <c r="E1666" s="43"/>
      <c r="F1666" s="36">
        <v>0.153</v>
      </c>
      <c r="G1666" s="36">
        <f>F1666*0.197</f>
        <v>3.0141000000000001E-2</v>
      </c>
      <c r="H1666" s="36">
        <v>6.9000000000000006E-2</v>
      </c>
      <c r="I1666" s="37">
        <f>H1666*0.15</f>
        <v>1.035E-2</v>
      </c>
      <c r="J1666" s="32">
        <f t="shared" si="400"/>
        <v>0.15352500000000002</v>
      </c>
      <c r="K1666" s="33">
        <f t="shared" si="403"/>
        <v>2.3028750000000004E-2</v>
      </c>
      <c r="L1666" s="52"/>
      <c r="O1666" s="2">
        <f t="shared" si="405"/>
        <v>2.8750000000000005E-2</v>
      </c>
      <c r="P1666" s="2">
        <f t="shared" si="406"/>
        <v>20.700000000000006</v>
      </c>
      <c r="Q1666" s="7">
        <f t="shared" si="407"/>
        <v>93.750000000000028</v>
      </c>
      <c r="R1666" s="2">
        <v>1.2</v>
      </c>
      <c r="S1666" s="2">
        <f t="shared" si="401"/>
        <v>4.45</v>
      </c>
      <c r="T1666" s="2"/>
      <c r="U1666" s="2"/>
      <c r="Y1666" s="8">
        <f t="shared" si="402"/>
        <v>3.3375000000000008</v>
      </c>
    </row>
    <row r="1667" spans="1:25" x14ac:dyDescent="0.25">
      <c r="A1667" s="34">
        <f t="shared" si="418"/>
        <v>1659</v>
      </c>
      <c r="B1667" s="35">
        <f t="shared" si="418"/>
        <v>255</v>
      </c>
      <c r="C1667" s="42" t="s">
        <v>416</v>
      </c>
      <c r="D1667" s="43">
        <v>80</v>
      </c>
      <c r="E1667" s="43"/>
      <c r="F1667" s="36">
        <f t="shared" ref="F1667:I1668" ca="1" si="420">SUM(F1667:F1667)</f>
        <v>0.187</v>
      </c>
      <c r="G1667" s="36">
        <f t="shared" ca="1" si="420"/>
        <v>3.6819999999999999E-2</v>
      </c>
      <c r="H1667" s="36">
        <v>7.3999999999999996E-2</v>
      </c>
      <c r="I1667" s="37">
        <f t="shared" ca="1" si="420"/>
        <v>1.1099999999999999E-2</v>
      </c>
      <c r="J1667" s="32">
        <f t="shared" si="400"/>
        <v>0.16464999999999999</v>
      </c>
      <c r="K1667" s="33">
        <f t="shared" si="403"/>
        <v>2.4697499999999997E-2</v>
      </c>
      <c r="L1667" s="52"/>
      <c r="O1667" s="2">
        <f t="shared" si="405"/>
        <v>3.0833333333333334E-2</v>
      </c>
      <c r="P1667" s="2">
        <f t="shared" si="406"/>
        <v>22.2</v>
      </c>
      <c r="Q1667" s="7">
        <f t="shared" si="407"/>
        <v>100.54347826086956</v>
      </c>
      <c r="R1667" s="2">
        <v>1.2</v>
      </c>
      <c r="S1667" s="2">
        <f t="shared" si="401"/>
        <v>4.45</v>
      </c>
      <c r="T1667" s="2"/>
      <c r="U1667" s="2"/>
      <c r="Y1667" s="8">
        <f t="shared" si="402"/>
        <v>3.5793478260869565</v>
      </c>
    </row>
    <row r="1668" spans="1:25" x14ac:dyDescent="0.25">
      <c r="A1668" s="34">
        <f t="shared" si="418"/>
        <v>1660</v>
      </c>
      <c r="B1668" s="35">
        <f t="shared" si="418"/>
        <v>256</v>
      </c>
      <c r="C1668" s="42" t="s">
        <v>416</v>
      </c>
      <c r="D1668" s="43">
        <v>94</v>
      </c>
      <c r="E1668" s="43"/>
      <c r="F1668" s="36">
        <f t="shared" ca="1" si="420"/>
        <v>0.19</v>
      </c>
      <c r="G1668" s="36">
        <f t="shared" ca="1" si="420"/>
        <v>3.7430000000000005E-2</v>
      </c>
      <c r="H1668" s="36">
        <v>1.1299999999999999E-2</v>
      </c>
      <c r="I1668" s="37">
        <f t="shared" ca="1" si="420"/>
        <v>1.6949999999999996E-2</v>
      </c>
      <c r="J1668" s="32">
        <f t="shared" si="400"/>
        <v>2.5142499999999998E-2</v>
      </c>
      <c r="K1668" s="33">
        <f t="shared" si="403"/>
        <v>3.7713749999999996E-3</v>
      </c>
      <c r="L1668" s="52"/>
      <c r="O1668" s="2">
        <f t="shared" si="405"/>
        <v>4.7083333333333335E-3</v>
      </c>
      <c r="P1668" s="2">
        <f t="shared" si="406"/>
        <v>3.39</v>
      </c>
      <c r="Q1668" s="7">
        <f t="shared" si="407"/>
        <v>15.353260869565219</v>
      </c>
      <c r="R1668" s="2">
        <v>1.2</v>
      </c>
      <c r="S1668" s="2">
        <f t="shared" si="401"/>
        <v>4.45</v>
      </c>
      <c r="T1668" s="2"/>
      <c r="U1668" s="2"/>
      <c r="Y1668" s="8">
        <f t="shared" si="402"/>
        <v>0.54657608695652171</v>
      </c>
    </row>
    <row r="1669" spans="1:25" x14ac:dyDescent="0.25">
      <c r="A1669" s="34">
        <f t="shared" si="418"/>
        <v>1661</v>
      </c>
      <c r="B1669" s="35">
        <f t="shared" si="418"/>
        <v>257</v>
      </c>
      <c r="C1669" s="42" t="s">
        <v>416</v>
      </c>
      <c r="D1669" s="43">
        <v>143</v>
      </c>
      <c r="E1669" s="43">
        <v>1</v>
      </c>
      <c r="F1669" s="36">
        <v>8.7499999999999994E-2</v>
      </c>
      <c r="G1669" s="36">
        <f>F1669*0.197</f>
        <v>1.7237499999999999E-2</v>
      </c>
      <c r="H1669" s="36">
        <v>9.5000000000000001E-2</v>
      </c>
      <c r="I1669" s="37">
        <f>H1669*0.15</f>
        <v>1.4249999999999999E-2</v>
      </c>
      <c r="J1669" s="32">
        <f t="shared" si="400"/>
        <v>0.21137500000000004</v>
      </c>
      <c r="K1669" s="33">
        <f t="shared" si="403"/>
        <v>3.1706250000000005E-2</v>
      </c>
      <c r="L1669" s="52"/>
      <c r="O1669" s="2">
        <f t="shared" si="405"/>
        <v>3.9583333333333338E-2</v>
      </c>
      <c r="P1669" s="2">
        <f t="shared" si="406"/>
        <v>28.500000000000007</v>
      </c>
      <c r="Q1669" s="7">
        <f t="shared" si="407"/>
        <v>129.07608695652178</v>
      </c>
      <c r="R1669" s="2">
        <v>1.2</v>
      </c>
      <c r="S1669" s="2">
        <f t="shared" si="401"/>
        <v>4.45</v>
      </c>
      <c r="T1669" s="2"/>
      <c r="U1669" s="2"/>
      <c r="Y1669" s="8">
        <f t="shared" si="402"/>
        <v>4.5951086956521747</v>
      </c>
    </row>
    <row r="1670" spans="1:25" x14ac:dyDescent="0.25">
      <c r="A1670" s="34">
        <f t="shared" si="418"/>
        <v>1662</v>
      </c>
      <c r="B1670" s="35">
        <f t="shared" si="418"/>
        <v>258</v>
      </c>
      <c r="C1670" s="42" t="s">
        <v>416</v>
      </c>
      <c r="D1670" s="43">
        <v>143</v>
      </c>
      <c r="E1670" s="43">
        <v>2</v>
      </c>
      <c r="F1670" s="36">
        <v>8.7499999999999994E-2</v>
      </c>
      <c r="G1670" s="36">
        <f>F1670*0.197</f>
        <v>1.7237499999999999E-2</v>
      </c>
      <c r="H1670" s="36">
        <v>0</v>
      </c>
      <c r="I1670" s="37">
        <v>0</v>
      </c>
      <c r="J1670" s="32">
        <f t="shared" si="400"/>
        <v>0</v>
      </c>
      <c r="K1670" s="33">
        <f t="shared" si="403"/>
        <v>0</v>
      </c>
      <c r="L1670" s="52"/>
      <c r="O1670" s="2">
        <f t="shared" si="405"/>
        <v>0</v>
      </c>
      <c r="P1670" s="2">
        <f t="shared" si="406"/>
        <v>0</v>
      </c>
      <c r="Q1670" s="7">
        <f t="shared" si="407"/>
        <v>0</v>
      </c>
      <c r="R1670" s="2">
        <v>1.2</v>
      </c>
      <c r="S1670" s="2">
        <f t="shared" si="401"/>
        <v>4.45</v>
      </c>
      <c r="T1670" s="2"/>
      <c r="U1670" s="2"/>
      <c r="Y1670" s="8">
        <f t="shared" si="402"/>
        <v>0</v>
      </c>
    </row>
    <row r="1671" spans="1:25" x14ac:dyDescent="0.25">
      <c r="A1671" s="34">
        <f t="shared" si="418"/>
        <v>1663</v>
      </c>
      <c r="B1671" s="35">
        <f t="shared" si="418"/>
        <v>259</v>
      </c>
      <c r="C1671" s="42" t="s">
        <v>416</v>
      </c>
      <c r="D1671" s="43">
        <v>145</v>
      </c>
      <c r="E1671" s="43"/>
      <c r="F1671" s="36">
        <v>0.107</v>
      </c>
      <c r="G1671" s="36">
        <f t="shared" ref="G1671:G1679" si="421">F1671*0.197</f>
        <v>2.1079000000000001E-2</v>
      </c>
      <c r="H1671" s="36">
        <v>0.05</v>
      </c>
      <c r="I1671" s="37">
        <f t="shared" ref="I1671:I1679" si="422">H1671*0.15</f>
        <v>7.4999999999999997E-3</v>
      </c>
      <c r="J1671" s="32">
        <f t="shared" si="400"/>
        <v>0.11125000000000002</v>
      </c>
      <c r="K1671" s="33">
        <f t="shared" si="403"/>
        <v>1.6687500000000001E-2</v>
      </c>
      <c r="L1671" s="52"/>
      <c r="O1671" s="2">
        <f t="shared" si="405"/>
        <v>2.0833333333333336E-2</v>
      </c>
      <c r="P1671" s="2">
        <f t="shared" si="406"/>
        <v>15</v>
      </c>
      <c r="Q1671" s="7">
        <f t="shared" si="407"/>
        <v>67.934782608695656</v>
      </c>
      <c r="R1671" s="2">
        <v>1.2</v>
      </c>
      <c r="S1671" s="2">
        <f t="shared" si="401"/>
        <v>4.45</v>
      </c>
      <c r="T1671" s="2"/>
      <c r="U1671" s="2"/>
      <c r="Y1671" s="8">
        <f t="shared" si="402"/>
        <v>2.4184782608695654</v>
      </c>
    </row>
    <row r="1672" spans="1:25" x14ac:dyDescent="0.25">
      <c r="A1672" s="34">
        <f t="shared" si="418"/>
        <v>1664</v>
      </c>
      <c r="B1672" s="35">
        <f t="shared" si="418"/>
        <v>260</v>
      </c>
      <c r="C1672" s="42" t="s">
        <v>416</v>
      </c>
      <c r="D1672" s="43">
        <v>147</v>
      </c>
      <c r="E1672" s="43"/>
      <c r="F1672" s="36">
        <v>0.17100000000000001</v>
      </c>
      <c r="G1672" s="36">
        <f t="shared" si="421"/>
        <v>3.3687000000000002E-2</v>
      </c>
      <c r="H1672" s="36">
        <v>6.5000000000000002E-2</v>
      </c>
      <c r="I1672" s="37">
        <f t="shared" si="422"/>
        <v>9.75E-3</v>
      </c>
      <c r="J1672" s="32">
        <f t="shared" si="400"/>
        <v>0.144625</v>
      </c>
      <c r="K1672" s="33">
        <f t="shared" si="403"/>
        <v>2.1693750000000001E-2</v>
      </c>
      <c r="L1672" s="52"/>
      <c r="O1672" s="2">
        <f t="shared" si="405"/>
        <v>2.7083333333333334E-2</v>
      </c>
      <c r="P1672" s="2">
        <f t="shared" si="406"/>
        <v>19.5</v>
      </c>
      <c r="Q1672" s="7">
        <f t="shared" si="407"/>
        <v>88.315217391304344</v>
      </c>
      <c r="R1672" s="2">
        <v>1.2</v>
      </c>
      <c r="S1672" s="2">
        <f t="shared" si="401"/>
        <v>4.45</v>
      </c>
      <c r="T1672" s="2"/>
      <c r="U1672" s="2"/>
      <c r="Y1672" s="8">
        <f t="shared" si="402"/>
        <v>3.1440217391304346</v>
      </c>
    </row>
    <row r="1673" spans="1:25" x14ac:dyDescent="0.25">
      <c r="A1673" s="34">
        <f t="shared" si="418"/>
        <v>1665</v>
      </c>
      <c r="B1673" s="35">
        <f t="shared" si="418"/>
        <v>261</v>
      </c>
      <c r="C1673" s="42" t="s">
        <v>421</v>
      </c>
      <c r="D1673" s="43">
        <v>5</v>
      </c>
      <c r="E1673" s="43"/>
      <c r="F1673" s="36">
        <v>4.7E-2</v>
      </c>
      <c r="G1673" s="36">
        <f t="shared" si="421"/>
        <v>9.2589999999999999E-3</v>
      </c>
      <c r="H1673" s="36">
        <v>2.5999999999999999E-2</v>
      </c>
      <c r="I1673" s="37">
        <f t="shared" si="422"/>
        <v>3.8999999999999998E-3</v>
      </c>
      <c r="J1673" s="32">
        <f t="shared" ref="J1673:J1736" si="423">O1673*R1673*S1673</f>
        <v>5.7849999999999999E-2</v>
      </c>
      <c r="K1673" s="33">
        <f t="shared" si="403"/>
        <v>8.6774999999999994E-3</v>
      </c>
      <c r="L1673" s="24" t="s">
        <v>16</v>
      </c>
      <c r="O1673" s="2">
        <f t="shared" si="405"/>
        <v>1.0833333333333334E-2</v>
      </c>
      <c r="P1673" s="2">
        <f t="shared" si="406"/>
        <v>7.8000000000000007</v>
      </c>
      <c r="Q1673" s="7">
        <f t="shared" si="407"/>
        <v>35.326086956521742</v>
      </c>
      <c r="R1673" s="2">
        <v>1.2</v>
      </c>
      <c r="S1673" s="2">
        <f t="shared" ref="S1673:S1736" si="424">IF(Q1673&lt;=$AE$6,$AF$6,IF(Q1673&lt;=$AE$7,$AF$7,IF(Q1673&lt;=$AE$8,$AF$8,IF(Q1673&lt;=$AE$9,$AF$9,IF(Q1673&lt;=$AE$10,$AF$10,0)))))</f>
        <v>4.45</v>
      </c>
      <c r="T1673" s="2"/>
      <c r="U1673" s="2"/>
      <c r="Y1673" s="8">
        <f t="shared" ref="Y1673:Y1736" si="425">J1673/46*1000</f>
        <v>1.2576086956521737</v>
      </c>
    </row>
    <row r="1674" spans="1:25" x14ac:dyDescent="0.25">
      <c r="A1674" s="34">
        <f t="shared" si="418"/>
        <v>1666</v>
      </c>
      <c r="B1674" s="35">
        <f t="shared" si="418"/>
        <v>262</v>
      </c>
      <c r="C1674" s="42" t="s">
        <v>421</v>
      </c>
      <c r="D1674" s="43" t="s">
        <v>83</v>
      </c>
      <c r="E1674" s="43"/>
      <c r="F1674" s="36">
        <v>7.0000000000000007E-2</v>
      </c>
      <c r="G1674" s="36">
        <f t="shared" si="421"/>
        <v>1.3790000000000002E-2</v>
      </c>
      <c r="H1674" s="36">
        <v>3.1E-2</v>
      </c>
      <c r="I1674" s="37">
        <f t="shared" si="422"/>
        <v>4.6499999999999996E-3</v>
      </c>
      <c r="J1674" s="32">
        <f t="shared" si="423"/>
        <v>6.8975000000000009E-2</v>
      </c>
      <c r="K1674" s="33">
        <f t="shared" ref="K1674:K1737" si="426">J1674*0.15</f>
        <v>1.0346250000000001E-2</v>
      </c>
      <c r="L1674" s="52"/>
      <c r="O1674" s="2">
        <f t="shared" si="405"/>
        <v>1.2916666666666667E-2</v>
      </c>
      <c r="P1674" s="2">
        <f t="shared" si="406"/>
        <v>9.3000000000000007</v>
      </c>
      <c r="Q1674" s="7">
        <f t="shared" si="407"/>
        <v>42.119565217391312</v>
      </c>
      <c r="R1674" s="2">
        <v>1.2</v>
      </c>
      <c r="S1674" s="2">
        <f t="shared" si="424"/>
        <v>4.45</v>
      </c>
      <c r="T1674" s="2"/>
      <c r="U1674" s="2"/>
      <c r="Y1674" s="8">
        <f t="shared" si="425"/>
        <v>1.4994565217391305</v>
      </c>
    </row>
    <row r="1675" spans="1:25" x14ac:dyDescent="0.25">
      <c r="A1675" s="34">
        <f t="shared" ref="A1675:B1690" si="427">A1674+1</f>
        <v>1667</v>
      </c>
      <c r="B1675" s="35">
        <f t="shared" si="427"/>
        <v>263</v>
      </c>
      <c r="C1675" s="42" t="s">
        <v>422</v>
      </c>
      <c r="D1675" s="43" t="s">
        <v>190</v>
      </c>
      <c r="E1675" s="43"/>
      <c r="F1675" s="36">
        <v>0.16400000000000001</v>
      </c>
      <c r="G1675" s="36">
        <f t="shared" si="421"/>
        <v>3.2308000000000003E-2</v>
      </c>
      <c r="H1675" s="36">
        <v>6.7000000000000004E-2</v>
      </c>
      <c r="I1675" s="37">
        <f t="shared" si="422"/>
        <v>1.005E-2</v>
      </c>
      <c r="J1675" s="32">
        <f t="shared" si="423"/>
        <v>0.14907500000000001</v>
      </c>
      <c r="K1675" s="33">
        <f t="shared" si="426"/>
        <v>2.2361250000000003E-2</v>
      </c>
      <c r="L1675" s="52"/>
      <c r="O1675" s="2">
        <f t="shared" ref="O1675:O1738" si="428">H1675/2.4</f>
        <v>2.7916666666666669E-2</v>
      </c>
      <c r="P1675" s="2">
        <f t="shared" ref="P1675:P1738" si="429">O1675*24*30</f>
        <v>20.100000000000001</v>
      </c>
      <c r="Q1675" s="7">
        <f t="shared" ref="Q1675:Q1738" si="430">P1675/0.2208</f>
        <v>91.032608695652186</v>
      </c>
      <c r="R1675" s="2">
        <v>1.2</v>
      </c>
      <c r="S1675" s="2">
        <f t="shared" si="424"/>
        <v>4.45</v>
      </c>
      <c r="T1675" s="2"/>
      <c r="U1675" s="2"/>
      <c r="Y1675" s="8">
        <f t="shared" si="425"/>
        <v>3.2407608695652175</v>
      </c>
    </row>
    <row r="1676" spans="1:25" x14ac:dyDescent="0.25">
      <c r="A1676" s="34">
        <f t="shared" si="427"/>
        <v>1668</v>
      </c>
      <c r="B1676" s="35">
        <f t="shared" si="427"/>
        <v>264</v>
      </c>
      <c r="C1676" s="42" t="s">
        <v>422</v>
      </c>
      <c r="D1676" s="43" t="s">
        <v>191</v>
      </c>
      <c r="E1676" s="43"/>
      <c r="F1676" s="36">
        <v>8.4000000000000005E-2</v>
      </c>
      <c r="G1676" s="36">
        <f t="shared" si="421"/>
        <v>1.6548E-2</v>
      </c>
      <c r="H1676" s="36">
        <v>0.03</v>
      </c>
      <c r="I1676" s="37">
        <f t="shared" si="422"/>
        <v>4.4999999999999997E-3</v>
      </c>
      <c r="J1676" s="32">
        <f t="shared" si="423"/>
        <v>6.6750000000000004E-2</v>
      </c>
      <c r="K1676" s="33">
        <f t="shared" si="426"/>
        <v>1.0012500000000001E-2</v>
      </c>
      <c r="L1676" s="52"/>
      <c r="O1676" s="2">
        <f t="shared" si="428"/>
        <v>1.2500000000000001E-2</v>
      </c>
      <c r="P1676" s="2">
        <f t="shared" si="429"/>
        <v>9.0000000000000018</v>
      </c>
      <c r="Q1676" s="7">
        <f t="shared" si="430"/>
        <v>40.760869565217398</v>
      </c>
      <c r="R1676" s="2">
        <v>1.2</v>
      </c>
      <c r="S1676" s="2">
        <f t="shared" si="424"/>
        <v>4.45</v>
      </c>
      <c r="T1676" s="2"/>
      <c r="U1676" s="2"/>
      <c r="Y1676" s="8">
        <f t="shared" si="425"/>
        <v>1.4510869565217392</v>
      </c>
    </row>
    <row r="1677" spans="1:25" x14ac:dyDescent="0.25">
      <c r="A1677" s="34">
        <f t="shared" si="427"/>
        <v>1669</v>
      </c>
      <c r="B1677" s="35">
        <f t="shared" si="427"/>
        <v>265</v>
      </c>
      <c r="C1677" s="42" t="s">
        <v>422</v>
      </c>
      <c r="D1677" s="43">
        <v>5</v>
      </c>
      <c r="E1677" s="43"/>
      <c r="F1677" s="36">
        <v>0.26300000000000001</v>
      </c>
      <c r="G1677" s="36">
        <f t="shared" si="421"/>
        <v>5.1811000000000003E-2</v>
      </c>
      <c r="H1677" s="36">
        <v>0.114</v>
      </c>
      <c r="I1677" s="37">
        <f t="shared" si="422"/>
        <v>1.7100000000000001E-2</v>
      </c>
      <c r="J1677" s="32">
        <f t="shared" si="423"/>
        <v>0.2109</v>
      </c>
      <c r="K1677" s="33">
        <f t="shared" si="426"/>
        <v>3.1634999999999996E-2</v>
      </c>
      <c r="L1677" s="52" t="s">
        <v>394</v>
      </c>
      <c r="O1677" s="2">
        <f t="shared" si="428"/>
        <v>4.7500000000000001E-2</v>
      </c>
      <c r="P1677" s="2">
        <f t="shared" si="429"/>
        <v>34.200000000000003</v>
      </c>
      <c r="Q1677" s="7">
        <f t="shared" si="430"/>
        <v>154.89130434782609</v>
      </c>
      <c r="R1677" s="2">
        <v>1.2</v>
      </c>
      <c r="S1677" s="2">
        <f t="shared" si="424"/>
        <v>3.7</v>
      </c>
      <c r="T1677" s="2"/>
      <c r="U1677" s="2"/>
      <c r="Y1677" s="8">
        <f t="shared" si="425"/>
        <v>4.5847826086956518</v>
      </c>
    </row>
    <row r="1678" spans="1:25" x14ac:dyDescent="0.25">
      <c r="A1678" s="34">
        <f t="shared" si="427"/>
        <v>1670</v>
      </c>
      <c r="B1678" s="35">
        <f t="shared" si="427"/>
        <v>266</v>
      </c>
      <c r="C1678" s="42" t="s">
        <v>422</v>
      </c>
      <c r="D1678" s="43">
        <v>52</v>
      </c>
      <c r="E1678" s="43"/>
      <c r="F1678" s="36">
        <v>7.0000000000000007E-2</v>
      </c>
      <c r="G1678" s="36">
        <f t="shared" si="421"/>
        <v>1.3790000000000002E-2</v>
      </c>
      <c r="H1678" s="36">
        <v>3.7999999999999999E-2</v>
      </c>
      <c r="I1678" s="37">
        <f t="shared" si="422"/>
        <v>5.6999999999999993E-3</v>
      </c>
      <c r="J1678" s="32">
        <f t="shared" si="423"/>
        <v>8.455E-2</v>
      </c>
      <c r="K1678" s="33">
        <f t="shared" si="426"/>
        <v>1.2682499999999999E-2</v>
      </c>
      <c r="L1678" s="52"/>
      <c r="O1678" s="2">
        <f t="shared" si="428"/>
        <v>1.5833333333333335E-2</v>
      </c>
      <c r="P1678" s="2">
        <f t="shared" si="429"/>
        <v>11.4</v>
      </c>
      <c r="Q1678" s="7">
        <f t="shared" si="430"/>
        <v>51.630434782608695</v>
      </c>
      <c r="R1678" s="2">
        <v>1.2</v>
      </c>
      <c r="S1678" s="2">
        <f t="shared" si="424"/>
        <v>4.45</v>
      </c>
      <c r="T1678" s="2"/>
      <c r="U1678" s="2"/>
      <c r="Y1678" s="8">
        <f t="shared" si="425"/>
        <v>1.8380434782608697</v>
      </c>
    </row>
    <row r="1679" spans="1:25" x14ac:dyDescent="0.25">
      <c r="A1679" s="34">
        <f t="shared" si="427"/>
        <v>1671</v>
      </c>
      <c r="B1679" s="35">
        <f t="shared" si="427"/>
        <v>267</v>
      </c>
      <c r="C1679" s="42" t="s">
        <v>422</v>
      </c>
      <c r="D1679" s="43">
        <v>71</v>
      </c>
      <c r="E1679" s="43"/>
      <c r="F1679" s="36">
        <v>0.157</v>
      </c>
      <c r="G1679" s="36">
        <f t="shared" si="421"/>
        <v>3.0929000000000002E-2</v>
      </c>
      <c r="H1679" s="36">
        <v>6.0999999999999999E-2</v>
      </c>
      <c r="I1679" s="37">
        <f t="shared" si="422"/>
        <v>9.1500000000000001E-3</v>
      </c>
      <c r="J1679" s="32">
        <f t="shared" si="423"/>
        <v>0.13572500000000001</v>
      </c>
      <c r="K1679" s="33">
        <f t="shared" si="426"/>
        <v>2.0358750000000002E-2</v>
      </c>
      <c r="L1679" s="52"/>
      <c r="O1679" s="2">
        <f t="shared" si="428"/>
        <v>2.5416666666666667E-2</v>
      </c>
      <c r="P1679" s="2">
        <f t="shared" si="429"/>
        <v>18.3</v>
      </c>
      <c r="Q1679" s="7">
        <f t="shared" si="430"/>
        <v>82.880434782608702</v>
      </c>
      <c r="R1679" s="2">
        <v>1.2</v>
      </c>
      <c r="S1679" s="2">
        <f t="shared" si="424"/>
        <v>4.45</v>
      </c>
      <c r="T1679" s="2"/>
      <c r="U1679" s="2"/>
      <c r="Y1679" s="8">
        <f t="shared" si="425"/>
        <v>2.9505434782608697</v>
      </c>
    </row>
    <row r="1680" spans="1:25" x14ac:dyDescent="0.25">
      <c r="A1680" s="34">
        <f t="shared" si="427"/>
        <v>1672</v>
      </c>
      <c r="B1680" s="35">
        <f t="shared" si="427"/>
        <v>268</v>
      </c>
      <c r="C1680" s="42" t="s">
        <v>423</v>
      </c>
      <c r="D1680" s="43">
        <v>49</v>
      </c>
      <c r="E1680" s="43">
        <v>1</v>
      </c>
      <c r="F1680" s="36">
        <v>0.154</v>
      </c>
      <c r="G1680" s="36">
        <v>1.5100000000000001E-2</v>
      </c>
      <c r="H1680" s="36">
        <v>7.0499999999999993E-2</v>
      </c>
      <c r="I1680" s="37">
        <v>5.3E-3</v>
      </c>
      <c r="J1680" s="32">
        <f t="shared" si="423"/>
        <v>0.15686249999999999</v>
      </c>
      <c r="K1680" s="33">
        <f t="shared" si="426"/>
        <v>2.3529374999999998E-2</v>
      </c>
      <c r="L1680" s="52"/>
      <c r="O1680" s="2">
        <f t="shared" si="428"/>
        <v>2.9374999999999998E-2</v>
      </c>
      <c r="P1680" s="2">
        <f t="shared" si="429"/>
        <v>21.15</v>
      </c>
      <c r="Q1680" s="7">
        <f t="shared" si="430"/>
        <v>95.78804347826086</v>
      </c>
      <c r="R1680" s="2">
        <v>1.2</v>
      </c>
      <c r="S1680" s="2">
        <f t="shared" si="424"/>
        <v>4.45</v>
      </c>
      <c r="T1680" s="2"/>
      <c r="U1680" s="2"/>
      <c r="Y1680" s="8">
        <f t="shared" si="425"/>
        <v>3.4100543478260867</v>
      </c>
    </row>
    <row r="1681" spans="1:25" x14ac:dyDescent="0.25">
      <c r="A1681" s="34">
        <f t="shared" si="427"/>
        <v>1673</v>
      </c>
      <c r="B1681" s="35">
        <f t="shared" si="427"/>
        <v>269</v>
      </c>
      <c r="C1681" s="42" t="s">
        <v>423</v>
      </c>
      <c r="D1681" s="43">
        <v>49</v>
      </c>
      <c r="E1681" s="43">
        <v>2</v>
      </c>
      <c r="F1681" s="36">
        <v>0.154</v>
      </c>
      <c r="G1681" s="36">
        <v>1.5100000000000001E-2</v>
      </c>
      <c r="H1681" s="36">
        <v>7.0499999999999993E-2</v>
      </c>
      <c r="I1681" s="37">
        <v>5.3E-3</v>
      </c>
      <c r="J1681" s="32">
        <f t="shared" si="423"/>
        <v>0.15686249999999999</v>
      </c>
      <c r="K1681" s="33">
        <f t="shared" si="426"/>
        <v>2.3529374999999998E-2</v>
      </c>
      <c r="L1681" s="52"/>
      <c r="O1681" s="2">
        <f t="shared" si="428"/>
        <v>2.9374999999999998E-2</v>
      </c>
      <c r="P1681" s="2">
        <f t="shared" si="429"/>
        <v>21.15</v>
      </c>
      <c r="Q1681" s="7">
        <f t="shared" si="430"/>
        <v>95.78804347826086</v>
      </c>
      <c r="R1681" s="2">
        <v>1.2</v>
      </c>
      <c r="S1681" s="2">
        <f t="shared" si="424"/>
        <v>4.45</v>
      </c>
      <c r="T1681" s="2"/>
      <c r="U1681" s="2"/>
      <c r="Y1681" s="8">
        <f t="shared" si="425"/>
        <v>3.4100543478260867</v>
      </c>
    </row>
    <row r="1682" spans="1:25" x14ac:dyDescent="0.25">
      <c r="A1682" s="34">
        <f t="shared" si="427"/>
        <v>1674</v>
      </c>
      <c r="B1682" s="35">
        <f t="shared" si="427"/>
        <v>270</v>
      </c>
      <c r="C1682" s="42" t="s">
        <v>423</v>
      </c>
      <c r="D1682" s="43">
        <v>89</v>
      </c>
      <c r="E1682" s="43"/>
      <c r="F1682" s="36">
        <v>8.2000000000000003E-2</v>
      </c>
      <c r="G1682" s="36">
        <f>F1682*0.197</f>
        <v>1.6154000000000002E-2</v>
      </c>
      <c r="H1682" s="36">
        <v>1.7000000000000001E-2</v>
      </c>
      <c r="I1682" s="37">
        <f>H1682*0.15</f>
        <v>2.5500000000000002E-3</v>
      </c>
      <c r="J1682" s="32">
        <f t="shared" si="423"/>
        <v>3.7825000000000004E-2</v>
      </c>
      <c r="K1682" s="33">
        <f t="shared" si="426"/>
        <v>5.6737500000000008E-3</v>
      </c>
      <c r="L1682" s="24" t="s">
        <v>16</v>
      </c>
      <c r="O1682" s="2">
        <f t="shared" si="428"/>
        <v>7.0833333333333338E-3</v>
      </c>
      <c r="P1682" s="2">
        <f t="shared" si="429"/>
        <v>5.1000000000000005</v>
      </c>
      <c r="Q1682" s="7">
        <f t="shared" si="430"/>
        <v>23.097826086956523</v>
      </c>
      <c r="R1682" s="2">
        <v>1.2</v>
      </c>
      <c r="S1682" s="2">
        <f t="shared" si="424"/>
        <v>4.45</v>
      </c>
      <c r="T1682" s="2"/>
      <c r="U1682" s="2"/>
      <c r="Y1682" s="8">
        <f t="shared" si="425"/>
        <v>0.82228260869565228</v>
      </c>
    </row>
    <row r="1683" spans="1:25" x14ac:dyDescent="0.25">
      <c r="A1683" s="34">
        <f t="shared" si="427"/>
        <v>1675</v>
      </c>
      <c r="B1683" s="35">
        <f t="shared" si="427"/>
        <v>271</v>
      </c>
      <c r="C1683" s="42" t="s">
        <v>423</v>
      </c>
      <c r="D1683" s="43">
        <v>93</v>
      </c>
      <c r="E1683" s="43"/>
      <c r="F1683" s="36">
        <f t="shared" ref="F1683:I1685" ca="1" si="431">SUM(F1683:F1683)</f>
        <v>0.21000000000000002</v>
      </c>
      <c r="G1683" s="36">
        <f t="shared" ca="1" si="431"/>
        <v>4.1370000000000004E-2</v>
      </c>
      <c r="H1683" s="36">
        <v>0.06</v>
      </c>
      <c r="I1683" s="37">
        <f t="shared" ca="1" si="431"/>
        <v>8.9999999999999993E-3</v>
      </c>
      <c r="J1683" s="32">
        <f t="shared" si="423"/>
        <v>0.13350000000000001</v>
      </c>
      <c r="K1683" s="33">
        <f t="shared" si="426"/>
        <v>2.0025000000000001E-2</v>
      </c>
      <c r="L1683" s="52"/>
      <c r="O1683" s="2">
        <f t="shared" si="428"/>
        <v>2.5000000000000001E-2</v>
      </c>
      <c r="P1683" s="2">
        <f t="shared" si="429"/>
        <v>18.000000000000004</v>
      </c>
      <c r="Q1683" s="7">
        <f t="shared" si="430"/>
        <v>81.521739130434796</v>
      </c>
      <c r="R1683" s="2">
        <v>1.2</v>
      </c>
      <c r="S1683" s="2">
        <f t="shared" si="424"/>
        <v>4.45</v>
      </c>
      <c r="T1683" s="2"/>
      <c r="U1683" s="2"/>
      <c r="Y1683" s="8">
        <f t="shared" si="425"/>
        <v>2.9021739130434785</v>
      </c>
    </row>
    <row r="1684" spans="1:25" x14ac:dyDescent="0.25">
      <c r="A1684" s="34">
        <f t="shared" si="427"/>
        <v>1676</v>
      </c>
      <c r="B1684" s="35">
        <f t="shared" si="427"/>
        <v>272</v>
      </c>
      <c r="C1684" s="42" t="s">
        <v>423</v>
      </c>
      <c r="D1684" s="43" t="s">
        <v>424</v>
      </c>
      <c r="E1684" s="43"/>
      <c r="F1684" s="36">
        <f t="shared" ca="1" si="431"/>
        <v>0.192</v>
      </c>
      <c r="G1684" s="36">
        <f t="shared" ca="1" si="431"/>
        <v>3.7824000000000003E-2</v>
      </c>
      <c r="H1684" s="36">
        <v>9.5000000000000001E-2</v>
      </c>
      <c r="I1684" s="37">
        <f t="shared" ca="1" si="431"/>
        <v>1.4249999999999999E-2</v>
      </c>
      <c r="J1684" s="32">
        <f t="shared" si="423"/>
        <v>0.21137500000000004</v>
      </c>
      <c r="K1684" s="33">
        <f t="shared" si="426"/>
        <v>3.1706250000000005E-2</v>
      </c>
      <c r="L1684" s="52"/>
      <c r="O1684" s="2">
        <f t="shared" si="428"/>
        <v>3.9583333333333338E-2</v>
      </c>
      <c r="P1684" s="2">
        <f t="shared" si="429"/>
        <v>28.500000000000007</v>
      </c>
      <c r="Q1684" s="7">
        <f t="shared" si="430"/>
        <v>129.07608695652178</v>
      </c>
      <c r="R1684" s="2">
        <v>1.2</v>
      </c>
      <c r="S1684" s="2">
        <f t="shared" si="424"/>
        <v>4.45</v>
      </c>
      <c r="T1684" s="2"/>
      <c r="U1684" s="2"/>
      <c r="Y1684" s="8">
        <f t="shared" si="425"/>
        <v>4.5951086956521747</v>
      </c>
    </row>
    <row r="1685" spans="1:25" x14ac:dyDescent="0.25">
      <c r="A1685" s="34">
        <f t="shared" si="427"/>
        <v>1677</v>
      </c>
      <c r="B1685" s="35">
        <f t="shared" si="427"/>
        <v>273</v>
      </c>
      <c r="C1685" s="42" t="s">
        <v>423</v>
      </c>
      <c r="D1685" s="43">
        <v>112</v>
      </c>
      <c r="E1685" s="43"/>
      <c r="F1685" s="36">
        <f t="shared" ca="1" si="431"/>
        <v>0.16500000000000001</v>
      </c>
      <c r="G1685" s="36">
        <f t="shared" ca="1" si="431"/>
        <v>3.2505000000000006E-2</v>
      </c>
      <c r="H1685" s="36">
        <v>7.2999999999999995E-2</v>
      </c>
      <c r="I1685" s="37">
        <f t="shared" ca="1" si="431"/>
        <v>1.095E-2</v>
      </c>
      <c r="J1685" s="32">
        <f t="shared" si="423"/>
        <v>0.16242499999999999</v>
      </c>
      <c r="K1685" s="33">
        <f t="shared" si="426"/>
        <v>2.4363749999999997E-2</v>
      </c>
      <c r="L1685" s="52"/>
      <c r="O1685" s="2">
        <f t="shared" si="428"/>
        <v>3.0416666666666665E-2</v>
      </c>
      <c r="P1685" s="2">
        <f t="shared" si="429"/>
        <v>21.9</v>
      </c>
      <c r="Q1685" s="7">
        <f t="shared" si="430"/>
        <v>99.184782608695642</v>
      </c>
      <c r="R1685" s="2">
        <v>1.2</v>
      </c>
      <c r="S1685" s="2">
        <f t="shared" si="424"/>
        <v>4.45</v>
      </c>
      <c r="T1685" s="2"/>
      <c r="U1685" s="2"/>
      <c r="Y1685" s="8">
        <f t="shared" si="425"/>
        <v>3.5309782608695648</v>
      </c>
    </row>
    <row r="1686" spans="1:25" x14ac:dyDescent="0.25">
      <c r="A1686" s="34">
        <f t="shared" si="427"/>
        <v>1678</v>
      </c>
      <c r="B1686" s="35">
        <f t="shared" si="427"/>
        <v>274</v>
      </c>
      <c r="C1686" s="42" t="s">
        <v>423</v>
      </c>
      <c r="D1686" s="43">
        <v>114</v>
      </c>
      <c r="E1686" s="43">
        <v>1</v>
      </c>
      <c r="F1686" s="36">
        <v>0.1145</v>
      </c>
      <c r="G1686" s="36">
        <v>3.9690000000000003E-2</v>
      </c>
      <c r="H1686" s="36">
        <v>7.2300000000000003E-2</v>
      </c>
      <c r="I1686" s="37">
        <v>1.0840000000000001E-2</v>
      </c>
      <c r="J1686" s="32">
        <f t="shared" si="423"/>
        <v>0.16086750000000002</v>
      </c>
      <c r="K1686" s="33">
        <f t="shared" si="426"/>
        <v>2.4130125000000002E-2</v>
      </c>
      <c r="L1686" s="52"/>
      <c r="O1686" s="2">
        <f t="shared" si="428"/>
        <v>3.0125000000000002E-2</v>
      </c>
      <c r="P1686" s="2">
        <f t="shared" si="429"/>
        <v>21.69</v>
      </c>
      <c r="Q1686" s="7">
        <f t="shared" si="430"/>
        <v>98.233695652173921</v>
      </c>
      <c r="R1686" s="2">
        <v>1.2</v>
      </c>
      <c r="S1686" s="2">
        <f t="shared" si="424"/>
        <v>4.45</v>
      </c>
      <c r="T1686" s="2"/>
      <c r="U1686" s="2"/>
      <c r="Y1686" s="8">
        <f t="shared" si="425"/>
        <v>3.4971195652173921</v>
      </c>
    </row>
    <row r="1687" spans="1:25" x14ac:dyDescent="0.25">
      <c r="A1687" s="34">
        <f t="shared" si="427"/>
        <v>1679</v>
      </c>
      <c r="B1687" s="35">
        <f t="shared" si="427"/>
        <v>275</v>
      </c>
      <c r="C1687" s="42" t="s">
        <v>423</v>
      </c>
      <c r="D1687" s="43">
        <v>114</v>
      </c>
      <c r="E1687" s="43">
        <v>2</v>
      </c>
      <c r="F1687" s="36">
        <v>0.1145</v>
      </c>
      <c r="G1687" s="36">
        <v>3.9690000000000003E-2</v>
      </c>
      <c r="H1687" s="36">
        <v>7.2300000000000003E-2</v>
      </c>
      <c r="I1687" s="37">
        <v>1.0840000000000001E-2</v>
      </c>
      <c r="J1687" s="32">
        <f t="shared" si="423"/>
        <v>0.16086750000000002</v>
      </c>
      <c r="K1687" s="33">
        <f t="shared" si="426"/>
        <v>2.4130125000000002E-2</v>
      </c>
      <c r="L1687" s="52"/>
      <c r="O1687" s="2">
        <f t="shared" si="428"/>
        <v>3.0125000000000002E-2</v>
      </c>
      <c r="P1687" s="2">
        <f t="shared" si="429"/>
        <v>21.69</v>
      </c>
      <c r="Q1687" s="7">
        <f t="shared" si="430"/>
        <v>98.233695652173921</v>
      </c>
      <c r="R1687" s="2">
        <v>1.2</v>
      </c>
      <c r="S1687" s="2">
        <f t="shared" si="424"/>
        <v>4.45</v>
      </c>
      <c r="T1687" s="2"/>
      <c r="U1687" s="2"/>
      <c r="Y1687" s="8">
        <f t="shared" si="425"/>
        <v>3.4971195652173921</v>
      </c>
    </row>
    <row r="1688" spans="1:25" x14ac:dyDescent="0.25">
      <c r="A1688" s="34">
        <f t="shared" si="427"/>
        <v>1680</v>
      </c>
      <c r="B1688" s="35">
        <f t="shared" si="427"/>
        <v>276</v>
      </c>
      <c r="C1688" s="42" t="s">
        <v>423</v>
      </c>
      <c r="D1688" s="43">
        <v>129</v>
      </c>
      <c r="E1688" s="43"/>
      <c r="F1688" s="36">
        <f ca="1">SUM(F1688:F1688)</f>
        <v>0.11800000000000001</v>
      </c>
      <c r="G1688" s="36">
        <f ca="1">SUM(G1688:G1688)</f>
        <v>2.3246000000000003E-2</v>
      </c>
      <c r="H1688" s="36">
        <v>7.3999999999999996E-2</v>
      </c>
      <c r="I1688" s="37">
        <f ca="1">SUM(I1688:I1688)</f>
        <v>1.11E-2</v>
      </c>
      <c r="J1688" s="32">
        <f t="shared" si="423"/>
        <v>0.16464999999999999</v>
      </c>
      <c r="K1688" s="33">
        <f t="shared" si="426"/>
        <v>2.4697499999999997E-2</v>
      </c>
      <c r="L1688" s="52"/>
      <c r="O1688" s="2">
        <f t="shared" si="428"/>
        <v>3.0833333333333334E-2</v>
      </c>
      <c r="P1688" s="2">
        <f t="shared" si="429"/>
        <v>22.2</v>
      </c>
      <c r="Q1688" s="7">
        <f t="shared" si="430"/>
        <v>100.54347826086956</v>
      </c>
      <c r="R1688" s="2">
        <v>1.2</v>
      </c>
      <c r="S1688" s="2">
        <f t="shared" si="424"/>
        <v>4.45</v>
      </c>
      <c r="T1688" s="2"/>
      <c r="U1688" s="2"/>
      <c r="Y1688" s="8">
        <f t="shared" si="425"/>
        <v>3.5793478260869565</v>
      </c>
    </row>
    <row r="1689" spans="1:25" x14ac:dyDescent="0.25">
      <c r="A1689" s="34">
        <f t="shared" si="427"/>
        <v>1681</v>
      </c>
      <c r="B1689" s="35">
        <f t="shared" si="427"/>
        <v>277</v>
      </c>
      <c r="C1689" s="42" t="s">
        <v>423</v>
      </c>
      <c r="D1689" s="43">
        <v>133</v>
      </c>
      <c r="E1689" s="43"/>
      <c r="F1689" s="36">
        <v>8.6999999999999994E-2</v>
      </c>
      <c r="G1689" s="36">
        <f>F1689*0.197</f>
        <v>1.7138999999999998E-2</v>
      </c>
      <c r="H1689" s="36">
        <v>3.5000000000000003E-2</v>
      </c>
      <c r="I1689" s="37">
        <f>H1689*0.15</f>
        <v>5.2500000000000003E-3</v>
      </c>
      <c r="J1689" s="32">
        <f t="shared" si="423"/>
        <v>7.7875000000000014E-2</v>
      </c>
      <c r="K1689" s="33">
        <f t="shared" si="426"/>
        <v>1.1681250000000002E-2</v>
      </c>
      <c r="L1689" s="52"/>
      <c r="O1689" s="2">
        <f t="shared" si="428"/>
        <v>1.4583333333333335E-2</v>
      </c>
      <c r="P1689" s="2">
        <f t="shared" si="429"/>
        <v>10.500000000000002</v>
      </c>
      <c r="Q1689" s="7">
        <f t="shared" si="430"/>
        <v>47.554347826086968</v>
      </c>
      <c r="R1689" s="2">
        <v>1.2</v>
      </c>
      <c r="S1689" s="2">
        <f t="shared" si="424"/>
        <v>4.45</v>
      </c>
      <c r="T1689" s="2"/>
      <c r="U1689" s="2"/>
      <c r="Y1689" s="8">
        <f t="shared" si="425"/>
        <v>1.692934782608696</v>
      </c>
    </row>
    <row r="1690" spans="1:25" x14ac:dyDescent="0.25">
      <c r="A1690" s="34">
        <f t="shared" si="427"/>
        <v>1682</v>
      </c>
      <c r="B1690" s="35">
        <f t="shared" si="427"/>
        <v>278</v>
      </c>
      <c r="C1690" s="42" t="s">
        <v>423</v>
      </c>
      <c r="D1690" s="43">
        <v>135</v>
      </c>
      <c r="E1690" s="43"/>
      <c r="F1690" s="36">
        <f t="shared" ref="F1690:I1692" ca="1" si="432">SUM(F1690:F1690)</f>
        <v>9.9000000000000005E-2</v>
      </c>
      <c r="G1690" s="36">
        <f t="shared" ca="1" si="432"/>
        <v>1.9503E-2</v>
      </c>
      <c r="H1690" s="36">
        <v>1.4999999999999999E-2</v>
      </c>
      <c r="I1690" s="37">
        <f t="shared" ca="1" si="432"/>
        <v>2.2499999999999998E-3</v>
      </c>
      <c r="J1690" s="32">
        <f t="shared" si="423"/>
        <v>3.3375000000000002E-2</v>
      </c>
      <c r="K1690" s="33">
        <f t="shared" si="426"/>
        <v>5.0062500000000003E-3</v>
      </c>
      <c r="L1690" s="52"/>
      <c r="O1690" s="2">
        <f t="shared" si="428"/>
        <v>6.2500000000000003E-3</v>
      </c>
      <c r="P1690" s="2">
        <f t="shared" si="429"/>
        <v>4.5000000000000009</v>
      </c>
      <c r="Q1690" s="7">
        <f t="shared" si="430"/>
        <v>20.380434782608699</v>
      </c>
      <c r="R1690" s="2">
        <v>1.2</v>
      </c>
      <c r="S1690" s="2">
        <f t="shared" si="424"/>
        <v>4.45</v>
      </c>
      <c r="T1690" s="2"/>
      <c r="U1690" s="2"/>
      <c r="Y1690" s="8">
        <f t="shared" si="425"/>
        <v>0.72554347826086962</v>
      </c>
    </row>
    <row r="1691" spans="1:25" x14ac:dyDescent="0.25">
      <c r="A1691" s="34">
        <f t="shared" ref="A1691:B1706" si="433">A1690+1</f>
        <v>1683</v>
      </c>
      <c r="B1691" s="35">
        <f t="shared" si="433"/>
        <v>279</v>
      </c>
      <c r="C1691" s="42" t="s">
        <v>423</v>
      </c>
      <c r="D1691" s="43">
        <v>137</v>
      </c>
      <c r="E1691" s="43"/>
      <c r="F1691" s="36">
        <f t="shared" ca="1" si="432"/>
        <v>9.6000000000000002E-2</v>
      </c>
      <c r="G1691" s="36">
        <f t="shared" ca="1" si="432"/>
        <v>1.8911999999999998E-2</v>
      </c>
      <c r="H1691" s="36">
        <v>4.9000000000000002E-2</v>
      </c>
      <c r="I1691" s="37">
        <f t="shared" ca="1" si="432"/>
        <v>7.3499999999999998E-3</v>
      </c>
      <c r="J1691" s="32">
        <f t="shared" si="423"/>
        <v>0.10902500000000002</v>
      </c>
      <c r="K1691" s="33">
        <f t="shared" si="426"/>
        <v>1.6353750000000004E-2</v>
      </c>
      <c r="L1691" s="52"/>
      <c r="O1691" s="2">
        <f t="shared" si="428"/>
        <v>2.041666666666667E-2</v>
      </c>
      <c r="P1691" s="2">
        <f t="shared" si="429"/>
        <v>14.700000000000003</v>
      </c>
      <c r="Q1691" s="7">
        <f t="shared" si="430"/>
        <v>66.576086956521749</v>
      </c>
      <c r="R1691" s="2">
        <v>1.2</v>
      </c>
      <c r="S1691" s="2">
        <f t="shared" si="424"/>
        <v>4.45</v>
      </c>
      <c r="T1691" s="2"/>
      <c r="U1691" s="2"/>
      <c r="Y1691" s="8">
        <f t="shared" si="425"/>
        <v>2.3701086956521746</v>
      </c>
    </row>
    <row r="1692" spans="1:25" x14ac:dyDescent="0.25">
      <c r="A1692" s="34">
        <f t="shared" si="433"/>
        <v>1684</v>
      </c>
      <c r="B1692" s="35">
        <f t="shared" si="433"/>
        <v>280</v>
      </c>
      <c r="C1692" s="42" t="s">
        <v>423</v>
      </c>
      <c r="D1692" s="43">
        <v>154</v>
      </c>
      <c r="E1692" s="43"/>
      <c r="F1692" s="36">
        <f t="shared" ca="1" si="432"/>
        <v>0.29300000000000004</v>
      </c>
      <c r="G1692" s="36">
        <f t="shared" ca="1" si="432"/>
        <v>5.7721000000000008E-2</v>
      </c>
      <c r="H1692" s="36">
        <v>2.87E-2</v>
      </c>
      <c r="I1692" s="37">
        <f t="shared" ca="1" si="432"/>
        <v>4.3049999999999998E-2</v>
      </c>
      <c r="J1692" s="32">
        <f t="shared" si="423"/>
        <v>6.3857499999999998E-2</v>
      </c>
      <c r="K1692" s="33">
        <f t="shared" si="426"/>
        <v>9.5786249999999986E-3</v>
      </c>
      <c r="L1692" s="52"/>
      <c r="O1692" s="2">
        <f t="shared" si="428"/>
        <v>1.1958333333333333E-2</v>
      </c>
      <c r="P1692" s="2">
        <f t="shared" si="429"/>
        <v>8.61</v>
      </c>
      <c r="Q1692" s="7">
        <f t="shared" si="430"/>
        <v>38.994565217391305</v>
      </c>
      <c r="R1692" s="2">
        <v>1.2</v>
      </c>
      <c r="S1692" s="2">
        <f t="shared" si="424"/>
        <v>4.45</v>
      </c>
      <c r="T1692" s="2"/>
      <c r="U1692" s="2"/>
      <c r="Y1692" s="8">
        <f t="shared" si="425"/>
        <v>1.3882065217391304</v>
      </c>
    </row>
    <row r="1693" spans="1:25" x14ac:dyDescent="0.25">
      <c r="A1693" s="34">
        <f t="shared" si="433"/>
        <v>1685</v>
      </c>
      <c r="B1693" s="35">
        <f t="shared" si="433"/>
        <v>281</v>
      </c>
      <c r="C1693" s="42" t="s">
        <v>425</v>
      </c>
      <c r="D1693" s="43">
        <v>8</v>
      </c>
      <c r="E1693" s="43"/>
      <c r="F1693" s="36">
        <v>0.20599999999999999</v>
      </c>
      <c r="G1693" s="36">
        <f>F1693*0.197</f>
        <v>4.0582E-2</v>
      </c>
      <c r="H1693" s="36">
        <v>0.14799999999999999</v>
      </c>
      <c r="I1693" s="37">
        <f>H1693*0.15</f>
        <v>2.2199999999999998E-2</v>
      </c>
      <c r="J1693" s="32">
        <f t="shared" si="423"/>
        <v>0.27379999999999999</v>
      </c>
      <c r="K1693" s="33">
        <f t="shared" si="426"/>
        <v>4.1069999999999995E-2</v>
      </c>
      <c r="L1693" s="52"/>
      <c r="O1693" s="2">
        <f t="shared" si="428"/>
        <v>6.1666666666666668E-2</v>
      </c>
      <c r="P1693" s="2">
        <f t="shared" si="429"/>
        <v>44.4</v>
      </c>
      <c r="Q1693" s="7">
        <f t="shared" si="430"/>
        <v>201.08695652173913</v>
      </c>
      <c r="R1693" s="2">
        <v>1.2</v>
      </c>
      <c r="S1693" s="2">
        <f t="shared" si="424"/>
        <v>3.7</v>
      </c>
      <c r="T1693" s="2"/>
      <c r="U1693" s="2"/>
      <c r="Y1693" s="8">
        <f t="shared" si="425"/>
        <v>5.9521739130434783</v>
      </c>
    </row>
    <row r="1694" spans="1:25" x14ac:dyDescent="0.25">
      <c r="A1694" s="34">
        <f t="shared" si="433"/>
        <v>1686</v>
      </c>
      <c r="B1694" s="35">
        <f t="shared" si="433"/>
        <v>282</v>
      </c>
      <c r="C1694" s="42" t="s">
        <v>426</v>
      </c>
      <c r="D1694" s="43" t="s">
        <v>36</v>
      </c>
      <c r="E1694" s="43"/>
      <c r="F1694" s="36">
        <v>0.11899999999999999</v>
      </c>
      <c r="G1694" s="36">
        <f>F1694*0.197</f>
        <v>2.3442999999999999E-2</v>
      </c>
      <c r="H1694" s="36">
        <v>4.7E-2</v>
      </c>
      <c r="I1694" s="37">
        <f>H1694*0.15</f>
        <v>7.0499999999999998E-3</v>
      </c>
      <c r="J1694" s="32">
        <f t="shared" si="423"/>
        <v>0.104575</v>
      </c>
      <c r="K1694" s="33">
        <f t="shared" si="426"/>
        <v>1.5686249999999999E-2</v>
      </c>
      <c r="L1694" s="52"/>
      <c r="O1694" s="2">
        <f t="shared" si="428"/>
        <v>1.9583333333333335E-2</v>
      </c>
      <c r="P1694" s="2">
        <f t="shared" si="429"/>
        <v>14.100000000000001</v>
      </c>
      <c r="Q1694" s="7">
        <f t="shared" si="430"/>
        <v>63.858695652173921</v>
      </c>
      <c r="R1694" s="2">
        <v>1.2</v>
      </c>
      <c r="S1694" s="2">
        <f t="shared" si="424"/>
        <v>4.45</v>
      </c>
      <c r="T1694" s="2"/>
      <c r="U1694" s="2"/>
      <c r="Y1694" s="8">
        <f t="shared" si="425"/>
        <v>2.2733695652173913</v>
      </c>
    </row>
    <row r="1695" spans="1:25" x14ac:dyDescent="0.25">
      <c r="A1695" s="34">
        <f t="shared" si="433"/>
        <v>1687</v>
      </c>
      <c r="B1695" s="35">
        <f t="shared" si="433"/>
        <v>283</v>
      </c>
      <c r="C1695" s="42" t="s">
        <v>426</v>
      </c>
      <c r="D1695" s="43">
        <v>37</v>
      </c>
      <c r="E1695" s="43"/>
      <c r="F1695" s="36">
        <f ca="1">SUM(F1695:F1695)</f>
        <v>0.13700000000000001</v>
      </c>
      <c r="G1695" s="36">
        <f ca="1">SUM(G1695:G1695)</f>
        <v>2.6989000000000003E-2</v>
      </c>
      <c r="H1695" s="36">
        <v>8.7999999999999995E-2</v>
      </c>
      <c r="I1695" s="37">
        <f ca="1">SUM(I1695:I1695)</f>
        <v>1.32E-2</v>
      </c>
      <c r="J1695" s="32">
        <f t="shared" si="423"/>
        <v>0.1958</v>
      </c>
      <c r="K1695" s="33">
        <f t="shared" si="426"/>
        <v>2.937E-2</v>
      </c>
      <c r="L1695" s="24" t="s">
        <v>16</v>
      </c>
      <c r="O1695" s="2">
        <f t="shared" si="428"/>
        <v>3.6666666666666667E-2</v>
      </c>
      <c r="P1695" s="2">
        <f t="shared" si="429"/>
        <v>26.4</v>
      </c>
      <c r="Q1695" s="7">
        <f t="shared" si="430"/>
        <v>119.56521739130434</v>
      </c>
      <c r="R1695" s="2">
        <v>1.2</v>
      </c>
      <c r="S1695" s="2">
        <f t="shared" si="424"/>
        <v>4.45</v>
      </c>
      <c r="T1695" s="2"/>
      <c r="U1695" s="2"/>
      <c r="Y1695" s="8">
        <f t="shared" si="425"/>
        <v>4.2565217391304353</v>
      </c>
    </row>
    <row r="1696" spans="1:25" x14ac:dyDescent="0.25">
      <c r="A1696" s="34">
        <f t="shared" si="433"/>
        <v>1688</v>
      </c>
      <c r="B1696" s="35">
        <f t="shared" si="433"/>
        <v>284</v>
      </c>
      <c r="C1696" s="42" t="s">
        <v>426</v>
      </c>
      <c r="D1696" s="43">
        <v>51</v>
      </c>
      <c r="E1696" s="43"/>
      <c r="F1696" s="36">
        <v>7.6999999999999999E-2</v>
      </c>
      <c r="G1696" s="36">
        <f>F1696*0.197</f>
        <v>1.5169E-2</v>
      </c>
      <c r="H1696" s="36">
        <v>8.9999999999999993E-3</v>
      </c>
      <c r="I1696" s="37">
        <f>H1696*0.15</f>
        <v>1.3499999999999999E-3</v>
      </c>
      <c r="J1696" s="32">
        <f t="shared" si="423"/>
        <v>2.0024999999999998E-2</v>
      </c>
      <c r="K1696" s="33">
        <f t="shared" si="426"/>
        <v>3.0037499999999995E-3</v>
      </c>
      <c r="L1696" s="24" t="s">
        <v>16</v>
      </c>
      <c r="O1696" s="2">
        <f t="shared" si="428"/>
        <v>3.7499999999999999E-3</v>
      </c>
      <c r="P1696" s="2">
        <f t="shared" si="429"/>
        <v>2.6999999999999997</v>
      </c>
      <c r="Q1696" s="7">
        <f t="shared" si="430"/>
        <v>12.228260869565217</v>
      </c>
      <c r="R1696" s="2">
        <v>1.2</v>
      </c>
      <c r="S1696" s="2">
        <f t="shared" si="424"/>
        <v>4.45</v>
      </c>
      <c r="T1696" s="2"/>
      <c r="U1696" s="2"/>
      <c r="Y1696" s="8">
        <f t="shared" si="425"/>
        <v>0.43532608695652164</v>
      </c>
    </row>
    <row r="1697" spans="1:25" x14ac:dyDescent="0.25">
      <c r="A1697" s="34">
        <f t="shared" si="433"/>
        <v>1689</v>
      </c>
      <c r="B1697" s="35">
        <f t="shared" si="433"/>
        <v>285</v>
      </c>
      <c r="C1697" s="42" t="s">
        <v>426</v>
      </c>
      <c r="D1697" s="43">
        <v>57</v>
      </c>
      <c r="E1697" s="43"/>
      <c r="F1697" s="36">
        <v>7.3999999999999996E-2</v>
      </c>
      <c r="G1697" s="36">
        <f>F1697*0.197</f>
        <v>1.4578000000000001E-2</v>
      </c>
      <c r="H1697" s="36">
        <v>0.03</v>
      </c>
      <c r="I1697" s="37">
        <f>H1697*0.15</f>
        <v>4.4999999999999997E-3</v>
      </c>
      <c r="J1697" s="32">
        <f t="shared" si="423"/>
        <v>6.6750000000000004E-2</v>
      </c>
      <c r="K1697" s="33">
        <f t="shared" si="426"/>
        <v>1.0012500000000001E-2</v>
      </c>
      <c r="L1697" s="52"/>
      <c r="O1697" s="2">
        <f t="shared" si="428"/>
        <v>1.2500000000000001E-2</v>
      </c>
      <c r="P1697" s="2">
        <f t="shared" si="429"/>
        <v>9.0000000000000018</v>
      </c>
      <c r="Q1697" s="7">
        <f t="shared" si="430"/>
        <v>40.760869565217398</v>
      </c>
      <c r="R1697" s="2">
        <v>1.2</v>
      </c>
      <c r="S1697" s="2">
        <f t="shared" si="424"/>
        <v>4.45</v>
      </c>
      <c r="T1697" s="2"/>
      <c r="U1697" s="2"/>
      <c r="Y1697" s="8">
        <f t="shared" si="425"/>
        <v>1.4510869565217392</v>
      </c>
    </row>
    <row r="1698" spans="1:25" x14ac:dyDescent="0.25">
      <c r="A1698" s="34">
        <f t="shared" si="433"/>
        <v>1690</v>
      </c>
      <c r="B1698" s="35">
        <f t="shared" si="433"/>
        <v>286</v>
      </c>
      <c r="C1698" s="42" t="s">
        <v>426</v>
      </c>
      <c r="D1698" s="43">
        <v>59</v>
      </c>
      <c r="E1698" s="43"/>
      <c r="F1698" s="36">
        <f ca="1">SUM(F1698:F1698)</f>
        <v>0.13300000000000001</v>
      </c>
      <c r="G1698" s="36">
        <f ca="1">SUM(G1698:G1698)</f>
        <v>2.6200999999999999E-2</v>
      </c>
      <c r="H1698" s="36">
        <v>2.7E-2</v>
      </c>
      <c r="I1698" s="37">
        <f ca="1">SUM(I1698:I1698)</f>
        <v>4.0499999999999998E-3</v>
      </c>
      <c r="J1698" s="32">
        <f t="shared" si="423"/>
        <v>6.0075000000000003E-2</v>
      </c>
      <c r="K1698" s="33">
        <f t="shared" si="426"/>
        <v>9.0112500000000002E-3</v>
      </c>
      <c r="L1698" s="52"/>
      <c r="O1698" s="2">
        <f t="shared" si="428"/>
        <v>1.125E-2</v>
      </c>
      <c r="P1698" s="2">
        <f t="shared" si="429"/>
        <v>8.1000000000000014</v>
      </c>
      <c r="Q1698" s="7">
        <f t="shared" si="430"/>
        <v>36.684782608695656</v>
      </c>
      <c r="R1698" s="2">
        <v>1.2</v>
      </c>
      <c r="S1698" s="2">
        <f t="shared" si="424"/>
        <v>4.45</v>
      </c>
      <c r="T1698" s="2"/>
      <c r="U1698" s="2"/>
      <c r="Y1698" s="8">
        <f t="shared" si="425"/>
        <v>1.3059782608695654</v>
      </c>
    </row>
    <row r="1699" spans="1:25" x14ac:dyDescent="0.25">
      <c r="A1699" s="34">
        <f t="shared" si="433"/>
        <v>1691</v>
      </c>
      <c r="B1699" s="35">
        <f t="shared" si="433"/>
        <v>287</v>
      </c>
      <c r="C1699" s="42" t="s">
        <v>427</v>
      </c>
      <c r="D1699" s="43">
        <v>5</v>
      </c>
      <c r="E1699" s="43">
        <v>1</v>
      </c>
      <c r="F1699" s="36">
        <v>0.155</v>
      </c>
      <c r="G1699" s="36">
        <v>1.52E-2</v>
      </c>
      <c r="H1699" s="36">
        <v>6.25E-2</v>
      </c>
      <c r="I1699" s="37">
        <v>4.7000000000000002E-3</v>
      </c>
      <c r="J1699" s="32">
        <f t="shared" si="423"/>
        <v>0.13906250000000001</v>
      </c>
      <c r="K1699" s="33">
        <f t="shared" si="426"/>
        <v>2.0859374999999999E-2</v>
      </c>
      <c r="L1699" s="52"/>
      <c r="O1699" s="2">
        <f t="shared" si="428"/>
        <v>2.6041666666666668E-2</v>
      </c>
      <c r="P1699" s="2">
        <f t="shared" si="429"/>
        <v>18.75</v>
      </c>
      <c r="Q1699" s="7">
        <f t="shared" si="430"/>
        <v>84.918478260869563</v>
      </c>
      <c r="R1699" s="2">
        <v>1.2</v>
      </c>
      <c r="S1699" s="2">
        <f t="shared" si="424"/>
        <v>4.45</v>
      </c>
      <c r="T1699" s="2"/>
      <c r="U1699" s="2"/>
      <c r="Y1699" s="8">
        <f t="shared" si="425"/>
        <v>3.023097826086957</v>
      </c>
    </row>
    <row r="1700" spans="1:25" x14ac:dyDescent="0.25">
      <c r="A1700" s="34">
        <f t="shared" si="433"/>
        <v>1692</v>
      </c>
      <c r="B1700" s="35">
        <f t="shared" si="433"/>
        <v>288</v>
      </c>
      <c r="C1700" s="42" t="s">
        <v>427</v>
      </c>
      <c r="D1700" s="43">
        <v>5</v>
      </c>
      <c r="E1700" s="43">
        <v>2</v>
      </c>
      <c r="F1700" s="36">
        <v>0.155</v>
      </c>
      <c r="G1700" s="36">
        <v>1.52E-2</v>
      </c>
      <c r="H1700" s="36">
        <v>6.25E-2</v>
      </c>
      <c r="I1700" s="37">
        <v>4.7000000000000002E-3</v>
      </c>
      <c r="J1700" s="32">
        <f t="shared" si="423"/>
        <v>0.13906250000000001</v>
      </c>
      <c r="K1700" s="33">
        <f t="shared" si="426"/>
        <v>2.0859374999999999E-2</v>
      </c>
      <c r="L1700" s="52"/>
      <c r="O1700" s="2">
        <f t="shared" si="428"/>
        <v>2.6041666666666668E-2</v>
      </c>
      <c r="P1700" s="2">
        <f t="shared" si="429"/>
        <v>18.75</v>
      </c>
      <c r="Q1700" s="7">
        <f t="shared" si="430"/>
        <v>84.918478260869563</v>
      </c>
      <c r="R1700" s="2">
        <v>1.2</v>
      </c>
      <c r="S1700" s="2">
        <f t="shared" si="424"/>
        <v>4.45</v>
      </c>
      <c r="T1700" s="2"/>
      <c r="U1700" s="2"/>
      <c r="Y1700" s="8">
        <f t="shared" si="425"/>
        <v>3.023097826086957</v>
      </c>
    </row>
    <row r="1701" spans="1:25" x14ac:dyDescent="0.25">
      <c r="A1701" s="34">
        <f t="shared" si="433"/>
        <v>1693</v>
      </c>
      <c r="B1701" s="35">
        <f t="shared" si="433"/>
        <v>289</v>
      </c>
      <c r="C1701" s="42" t="s">
        <v>427</v>
      </c>
      <c r="D1701" s="43" t="s">
        <v>83</v>
      </c>
      <c r="E1701" s="43"/>
      <c r="F1701" s="36">
        <v>0.158</v>
      </c>
      <c r="G1701" s="36">
        <f>F1701*0.197</f>
        <v>3.1126000000000001E-2</v>
      </c>
      <c r="H1701" s="36">
        <v>5.5E-2</v>
      </c>
      <c r="I1701" s="37">
        <f>H1701*0.15</f>
        <v>8.2500000000000004E-3</v>
      </c>
      <c r="J1701" s="32">
        <f t="shared" si="423"/>
        <v>0.12237500000000001</v>
      </c>
      <c r="K1701" s="33">
        <f t="shared" si="426"/>
        <v>1.8356250000000001E-2</v>
      </c>
      <c r="L1701" s="52"/>
      <c r="O1701" s="2">
        <f t="shared" si="428"/>
        <v>2.2916666666666669E-2</v>
      </c>
      <c r="P1701" s="2">
        <f t="shared" si="429"/>
        <v>16.5</v>
      </c>
      <c r="Q1701" s="7">
        <f t="shared" si="430"/>
        <v>74.728260869565219</v>
      </c>
      <c r="R1701" s="2">
        <v>1.2</v>
      </c>
      <c r="S1701" s="2">
        <f t="shared" si="424"/>
        <v>4.45</v>
      </c>
      <c r="T1701" s="2"/>
      <c r="U1701" s="2"/>
      <c r="Y1701" s="8">
        <f t="shared" si="425"/>
        <v>2.660326086956522</v>
      </c>
    </row>
    <row r="1702" spans="1:25" x14ac:dyDescent="0.25">
      <c r="A1702" s="34">
        <f t="shared" si="433"/>
        <v>1694</v>
      </c>
      <c r="B1702" s="35">
        <f t="shared" si="433"/>
        <v>290</v>
      </c>
      <c r="C1702" s="42" t="s">
        <v>427</v>
      </c>
      <c r="D1702" s="43">
        <v>7</v>
      </c>
      <c r="E1702" s="43">
        <v>1</v>
      </c>
      <c r="F1702" s="36">
        <v>8.0500000000000002E-2</v>
      </c>
      <c r="G1702" s="36">
        <v>7.9500000000000005E-3</v>
      </c>
      <c r="H1702" s="36">
        <v>3.95E-2</v>
      </c>
      <c r="I1702" s="37">
        <v>2.9499999999999999E-3</v>
      </c>
      <c r="J1702" s="32">
        <f t="shared" si="423"/>
        <v>8.7887500000000007E-2</v>
      </c>
      <c r="K1702" s="33">
        <f t="shared" si="426"/>
        <v>1.3183125E-2</v>
      </c>
      <c r="L1702" s="52"/>
      <c r="O1702" s="2">
        <f t="shared" si="428"/>
        <v>1.6458333333333335E-2</v>
      </c>
      <c r="P1702" s="2">
        <f t="shared" si="429"/>
        <v>11.850000000000001</v>
      </c>
      <c r="Q1702" s="7">
        <f t="shared" si="430"/>
        <v>53.66847826086957</v>
      </c>
      <c r="R1702" s="2">
        <v>1.2</v>
      </c>
      <c r="S1702" s="2">
        <f t="shared" si="424"/>
        <v>4.45</v>
      </c>
      <c r="T1702" s="2"/>
      <c r="U1702" s="2"/>
      <c r="Y1702" s="8">
        <f t="shared" si="425"/>
        <v>1.9105978260869567</v>
      </c>
    </row>
    <row r="1703" spans="1:25" x14ac:dyDescent="0.25">
      <c r="A1703" s="34">
        <f t="shared" si="433"/>
        <v>1695</v>
      </c>
      <c r="B1703" s="35">
        <f t="shared" si="433"/>
        <v>291</v>
      </c>
      <c r="C1703" s="42" t="s">
        <v>427</v>
      </c>
      <c r="D1703" s="43">
        <v>7</v>
      </c>
      <c r="E1703" s="43">
        <v>2</v>
      </c>
      <c r="F1703" s="36">
        <v>8.0500000000000002E-2</v>
      </c>
      <c r="G1703" s="36">
        <v>7.9500000000000005E-3</v>
      </c>
      <c r="H1703" s="36">
        <v>3.95E-2</v>
      </c>
      <c r="I1703" s="37">
        <v>2.9499999999999999E-3</v>
      </c>
      <c r="J1703" s="32">
        <f t="shared" si="423"/>
        <v>8.7887500000000007E-2</v>
      </c>
      <c r="K1703" s="33">
        <f t="shared" si="426"/>
        <v>1.3183125E-2</v>
      </c>
      <c r="L1703" s="52"/>
      <c r="O1703" s="2">
        <f t="shared" si="428"/>
        <v>1.6458333333333335E-2</v>
      </c>
      <c r="P1703" s="2">
        <f t="shared" si="429"/>
        <v>11.850000000000001</v>
      </c>
      <c r="Q1703" s="7">
        <f t="shared" si="430"/>
        <v>53.66847826086957</v>
      </c>
      <c r="R1703" s="2">
        <v>1.2</v>
      </c>
      <c r="S1703" s="2">
        <f t="shared" si="424"/>
        <v>4.45</v>
      </c>
      <c r="T1703" s="2"/>
      <c r="U1703" s="2"/>
      <c r="Y1703" s="8">
        <f t="shared" si="425"/>
        <v>1.9105978260869567</v>
      </c>
    </row>
    <row r="1704" spans="1:25" x14ac:dyDescent="0.25">
      <c r="A1704" s="34">
        <f t="shared" si="433"/>
        <v>1696</v>
      </c>
      <c r="B1704" s="35">
        <f t="shared" si="433"/>
        <v>292</v>
      </c>
      <c r="C1704" s="42" t="s">
        <v>427</v>
      </c>
      <c r="D1704" s="43">
        <v>41</v>
      </c>
      <c r="E1704" s="43">
        <v>1</v>
      </c>
      <c r="F1704" s="36">
        <v>0.45350000000000001</v>
      </c>
      <c r="G1704" s="36">
        <v>4.4659999999999998E-2</v>
      </c>
      <c r="H1704" s="36">
        <v>0.1195</v>
      </c>
      <c r="I1704" s="37">
        <v>8.8999999999999999E-3</v>
      </c>
      <c r="J1704" s="32">
        <f t="shared" si="423"/>
        <v>0.22107499999999999</v>
      </c>
      <c r="K1704" s="33">
        <f t="shared" si="426"/>
        <v>3.3161249999999996E-2</v>
      </c>
      <c r="L1704" s="52"/>
      <c r="O1704" s="2">
        <f t="shared" si="428"/>
        <v>4.9791666666666665E-2</v>
      </c>
      <c r="P1704" s="2">
        <f t="shared" si="429"/>
        <v>35.849999999999994</v>
      </c>
      <c r="Q1704" s="7">
        <f t="shared" si="430"/>
        <v>162.3641304347826</v>
      </c>
      <c r="R1704" s="2">
        <v>1.2</v>
      </c>
      <c r="S1704" s="2">
        <f t="shared" si="424"/>
        <v>3.7</v>
      </c>
      <c r="T1704" s="2"/>
      <c r="U1704" s="2"/>
      <c r="Y1704" s="8">
        <f t="shared" si="425"/>
        <v>4.8059782608695656</v>
      </c>
    </row>
    <row r="1705" spans="1:25" x14ac:dyDescent="0.25">
      <c r="A1705" s="34">
        <f t="shared" si="433"/>
        <v>1697</v>
      </c>
      <c r="B1705" s="35">
        <f t="shared" si="433"/>
        <v>293</v>
      </c>
      <c r="C1705" s="42" t="s">
        <v>427</v>
      </c>
      <c r="D1705" s="43">
        <v>41</v>
      </c>
      <c r="E1705" s="43">
        <v>2</v>
      </c>
      <c r="F1705" s="36">
        <v>0.45350000000000001</v>
      </c>
      <c r="G1705" s="36">
        <v>4.4659999999999998E-2</v>
      </c>
      <c r="H1705" s="36">
        <v>0.1195</v>
      </c>
      <c r="I1705" s="37">
        <v>8.8999999999999999E-3</v>
      </c>
      <c r="J1705" s="32">
        <f t="shared" si="423"/>
        <v>0.22107499999999999</v>
      </c>
      <c r="K1705" s="33">
        <f t="shared" si="426"/>
        <v>3.3161249999999996E-2</v>
      </c>
      <c r="L1705" s="52"/>
      <c r="O1705" s="2">
        <f t="shared" si="428"/>
        <v>4.9791666666666665E-2</v>
      </c>
      <c r="P1705" s="2">
        <f t="shared" si="429"/>
        <v>35.849999999999994</v>
      </c>
      <c r="Q1705" s="7">
        <f t="shared" si="430"/>
        <v>162.3641304347826</v>
      </c>
      <c r="R1705" s="2">
        <v>1.2</v>
      </c>
      <c r="S1705" s="2">
        <f t="shared" si="424"/>
        <v>3.7</v>
      </c>
      <c r="T1705" s="2"/>
      <c r="U1705" s="2"/>
      <c r="Y1705" s="8">
        <f t="shared" si="425"/>
        <v>4.8059782608695656</v>
      </c>
    </row>
    <row r="1706" spans="1:25" x14ac:dyDescent="0.25">
      <c r="A1706" s="34">
        <f t="shared" si="433"/>
        <v>1698</v>
      </c>
      <c r="B1706" s="35">
        <f t="shared" si="433"/>
        <v>294</v>
      </c>
      <c r="C1706" s="42" t="s">
        <v>427</v>
      </c>
      <c r="D1706" s="43">
        <v>43</v>
      </c>
      <c r="E1706" s="43"/>
      <c r="F1706" s="36">
        <v>0.18099999999999999</v>
      </c>
      <c r="G1706" s="36">
        <f>F1706*0.197</f>
        <v>3.5657000000000001E-2</v>
      </c>
      <c r="H1706" s="36">
        <v>6.5000000000000002E-2</v>
      </c>
      <c r="I1706" s="37">
        <f>H1706*0.15</f>
        <v>9.75E-3</v>
      </c>
      <c r="J1706" s="32">
        <f t="shared" si="423"/>
        <v>0.144625</v>
      </c>
      <c r="K1706" s="33">
        <f t="shared" si="426"/>
        <v>2.1693750000000001E-2</v>
      </c>
      <c r="L1706" s="52"/>
      <c r="O1706" s="2">
        <f t="shared" si="428"/>
        <v>2.7083333333333334E-2</v>
      </c>
      <c r="P1706" s="2">
        <f t="shared" si="429"/>
        <v>19.5</v>
      </c>
      <c r="Q1706" s="7">
        <f t="shared" si="430"/>
        <v>88.315217391304344</v>
      </c>
      <c r="R1706" s="2">
        <v>1.2</v>
      </c>
      <c r="S1706" s="2">
        <f t="shared" si="424"/>
        <v>4.45</v>
      </c>
      <c r="T1706" s="2"/>
      <c r="U1706" s="2"/>
      <c r="Y1706" s="8">
        <f t="shared" si="425"/>
        <v>3.1440217391304346</v>
      </c>
    </row>
    <row r="1707" spans="1:25" x14ac:dyDescent="0.25">
      <c r="A1707" s="34">
        <f t="shared" ref="A1707:B1722" si="434">A1706+1</f>
        <v>1699</v>
      </c>
      <c r="B1707" s="35">
        <f t="shared" si="434"/>
        <v>295</v>
      </c>
      <c r="C1707" s="42" t="s">
        <v>427</v>
      </c>
      <c r="D1707" s="53">
        <v>47</v>
      </c>
      <c r="E1707" s="53"/>
      <c r="F1707" s="36">
        <f ca="1">SUM(F1707:F1707)</f>
        <v>0.20299999999999999</v>
      </c>
      <c r="G1707" s="36">
        <f ca="1">SUM(G1707:G1707)</f>
        <v>3.9990999999999999E-2</v>
      </c>
      <c r="H1707" s="36">
        <v>0.246</v>
      </c>
      <c r="I1707" s="37">
        <f ca="1">SUM(I1707:I1707)</f>
        <v>3.6900000000000002E-2</v>
      </c>
      <c r="J1707" s="32">
        <f t="shared" si="423"/>
        <v>0.43664999999999998</v>
      </c>
      <c r="K1707" s="33">
        <f t="shared" si="426"/>
        <v>6.54975E-2</v>
      </c>
      <c r="L1707" s="52"/>
      <c r="O1707" s="2">
        <f t="shared" si="428"/>
        <v>0.10250000000000001</v>
      </c>
      <c r="P1707" s="2">
        <f t="shared" si="429"/>
        <v>73.8</v>
      </c>
      <c r="Q1707" s="7">
        <f t="shared" si="430"/>
        <v>334.23913043478262</v>
      </c>
      <c r="R1707" s="2">
        <v>1.2</v>
      </c>
      <c r="S1707" s="2">
        <f t="shared" si="424"/>
        <v>3.55</v>
      </c>
      <c r="T1707" s="2"/>
      <c r="U1707" s="2"/>
      <c r="Y1707" s="8">
        <f t="shared" si="425"/>
        <v>9.4923913043478265</v>
      </c>
    </row>
    <row r="1708" spans="1:25" x14ac:dyDescent="0.25">
      <c r="A1708" s="34">
        <f t="shared" si="434"/>
        <v>1700</v>
      </c>
      <c r="B1708" s="35">
        <f t="shared" si="434"/>
        <v>296</v>
      </c>
      <c r="C1708" s="42" t="s">
        <v>427</v>
      </c>
      <c r="D1708" s="43">
        <v>49</v>
      </c>
      <c r="E1708" s="43"/>
      <c r="F1708" s="36">
        <v>7.1999999999999995E-2</v>
      </c>
      <c r="G1708" s="36">
        <f>F1708*0.197</f>
        <v>1.4183999999999999E-2</v>
      </c>
      <c r="H1708" s="36">
        <v>1.7000000000000001E-2</v>
      </c>
      <c r="I1708" s="37">
        <f>H1708*0.15</f>
        <v>2.5500000000000002E-3</v>
      </c>
      <c r="J1708" s="32">
        <f t="shared" si="423"/>
        <v>3.7825000000000004E-2</v>
      </c>
      <c r="K1708" s="33">
        <f t="shared" si="426"/>
        <v>5.6737500000000008E-3</v>
      </c>
      <c r="L1708" s="52"/>
      <c r="O1708" s="2">
        <f t="shared" si="428"/>
        <v>7.0833333333333338E-3</v>
      </c>
      <c r="P1708" s="2">
        <f t="shared" si="429"/>
        <v>5.1000000000000005</v>
      </c>
      <c r="Q1708" s="7">
        <f t="shared" si="430"/>
        <v>23.097826086956523</v>
      </c>
      <c r="R1708" s="2">
        <v>1.2</v>
      </c>
      <c r="S1708" s="2">
        <f t="shared" si="424"/>
        <v>4.45</v>
      </c>
      <c r="T1708" s="2"/>
      <c r="U1708" s="2"/>
      <c r="Y1708" s="8">
        <f t="shared" si="425"/>
        <v>0.82228260869565228</v>
      </c>
    </row>
    <row r="1709" spans="1:25" x14ac:dyDescent="0.25">
      <c r="A1709" s="34">
        <f t="shared" si="434"/>
        <v>1701</v>
      </c>
      <c r="B1709" s="35">
        <f t="shared" si="434"/>
        <v>297</v>
      </c>
      <c r="C1709" s="42" t="s">
        <v>427</v>
      </c>
      <c r="D1709" s="43">
        <v>51</v>
      </c>
      <c r="E1709" s="43"/>
      <c r="F1709" s="36">
        <v>7.2999999999999995E-2</v>
      </c>
      <c r="G1709" s="36">
        <f>F1709*0.197</f>
        <v>1.4381E-2</v>
      </c>
      <c r="H1709" s="36">
        <v>1.7999999999999999E-2</v>
      </c>
      <c r="I1709" s="37">
        <f>H1709*0.15</f>
        <v>2.6999999999999997E-3</v>
      </c>
      <c r="J1709" s="32">
        <f t="shared" si="423"/>
        <v>4.0049999999999995E-2</v>
      </c>
      <c r="K1709" s="33">
        <f t="shared" si="426"/>
        <v>6.007499999999999E-3</v>
      </c>
      <c r="L1709" s="52"/>
      <c r="O1709" s="2">
        <f t="shared" si="428"/>
        <v>7.4999999999999997E-3</v>
      </c>
      <c r="P1709" s="2">
        <f t="shared" si="429"/>
        <v>5.3999999999999995</v>
      </c>
      <c r="Q1709" s="7">
        <f t="shared" si="430"/>
        <v>24.456521739130434</v>
      </c>
      <c r="R1709" s="2">
        <v>1.2</v>
      </c>
      <c r="S1709" s="2">
        <f t="shared" si="424"/>
        <v>4.45</v>
      </c>
      <c r="T1709" s="2"/>
      <c r="U1709" s="2"/>
      <c r="Y1709" s="8">
        <f t="shared" si="425"/>
        <v>0.87065217391304328</v>
      </c>
    </row>
    <row r="1710" spans="1:25" x14ac:dyDescent="0.25">
      <c r="A1710" s="34">
        <f t="shared" si="434"/>
        <v>1702</v>
      </c>
      <c r="B1710" s="35">
        <f t="shared" si="434"/>
        <v>298</v>
      </c>
      <c r="C1710" s="42" t="s">
        <v>427</v>
      </c>
      <c r="D1710" s="43">
        <v>57</v>
      </c>
      <c r="E1710" s="43"/>
      <c r="F1710" s="36">
        <f ca="1">SUM(F1710:F1710)</f>
        <v>0.14399999999999999</v>
      </c>
      <c r="G1710" s="36">
        <f ca="1">SUM(G1710:G1710)</f>
        <v>2.8368000000000001E-2</v>
      </c>
      <c r="H1710" s="36">
        <v>6.3E-2</v>
      </c>
      <c r="I1710" s="37">
        <f ca="1">SUM(I1710:I1710)</f>
        <v>9.4500000000000001E-3</v>
      </c>
      <c r="J1710" s="32">
        <f t="shared" si="423"/>
        <v>0.14017499999999999</v>
      </c>
      <c r="K1710" s="33">
        <f t="shared" si="426"/>
        <v>2.102625E-2</v>
      </c>
      <c r="L1710" s="52"/>
      <c r="O1710" s="2">
        <f t="shared" si="428"/>
        <v>2.6250000000000002E-2</v>
      </c>
      <c r="P1710" s="2">
        <f t="shared" si="429"/>
        <v>18.900000000000002</v>
      </c>
      <c r="Q1710" s="7">
        <f t="shared" si="430"/>
        <v>85.59782608695653</v>
      </c>
      <c r="R1710" s="2">
        <v>1.2</v>
      </c>
      <c r="S1710" s="2">
        <f t="shared" si="424"/>
        <v>4.45</v>
      </c>
      <c r="T1710" s="2"/>
      <c r="U1710" s="2"/>
      <c r="Y1710" s="8">
        <f t="shared" si="425"/>
        <v>3.0472826086956522</v>
      </c>
    </row>
    <row r="1711" spans="1:25" x14ac:dyDescent="0.25">
      <c r="A1711" s="34">
        <f t="shared" si="434"/>
        <v>1703</v>
      </c>
      <c r="B1711" s="35">
        <f t="shared" si="434"/>
        <v>299</v>
      </c>
      <c r="C1711" s="42" t="s">
        <v>428</v>
      </c>
      <c r="D1711" s="43">
        <v>72</v>
      </c>
      <c r="E1711" s="43">
        <v>1</v>
      </c>
      <c r="F1711" s="36">
        <v>0.30549999999999999</v>
      </c>
      <c r="G1711" s="36">
        <v>6.0179999999999997E-2</v>
      </c>
      <c r="H1711" s="36">
        <v>9.7500000000000003E-2</v>
      </c>
      <c r="I1711" s="37">
        <v>1.46E-2</v>
      </c>
      <c r="J1711" s="32">
        <f t="shared" si="423"/>
        <v>0.21693750000000001</v>
      </c>
      <c r="K1711" s="33">
        <f t="shared" si="426"/>
        <v>3.2540624999999997E-2</v>
      </c>
      <c r="L1711" s="52"/>
      <c r="O1711" s="2">
        <f t="shared" si="428"/>
        <v>4.0625000000000001E-2</v>
      </c>
      <c r="P1711" s="2">
        <f t="shared" si="429"/>
        <v>29.250000000000004</v>
      </c>
      <c r="Q1711" s="7">
        <f t="shared" si="430"/>
        <v>132.47282608695653</v>
      </c>
      <c r="R1711" s="2">
        <v>1.2</v>
      </c>
      <c r="S1711" s="2">
        <f t="shared" si="424"/>
        <v>4.45</v>
      </c>
      <c r="T1711" s="2"/>
      <c r="U1711" s="2"/>
      <c r="Y1711" s="8">
        <f t="shared" si="425"/>
        <v>4.7160326086956523</v>
      </c>
    </row>
    <row r="1712" spans="1:25" x14ac:dyDescent="0.25">
      <c r="A1712" s="34">
        <f t="shared" si="434"/>
        <v>1704</v>
      </c>
      <c r="B1712" s="35">
        <f t="shared" si="434"/>
        <v>300</v>
      </c>
      <c r="C1712" s="42" t="s">
        <v>428</v>
      </c>
      <c r="D1712" s="43">
        <v>72</v>
      </c>
      <c r="E1712" s="43">
        <v>2</v>
      </c>
      <c r="F1712" s="36">
        <v>0.30549999999999999</v>
      </c>
      <c r="G1712" s="36">
        <v>6.0179999999999997E-2</v>
      </c>
      <c r="H1712" s="36">
        <v>9.7500000000000003E-2</v>
      </c>
      <c r="I1712" s="37">
        <v>1.46E-2</v>
      </c>
      <c r="J1712" s="32">
        <f t="shared" si="423"/>
        <v>0.21693750000000001</v>
      </c>
      <c r="K1712" s="33">
        <f t="shared" si="426"/>
        <v>3.2540624999999997E-2</v>
      </c>
      <c r="L1712" s="24" t="s">
        <v>16</v>
      </c>
      <c r="O1712" s="2">
        <f t="shared" si="428"/>
        <v>4.0625000000000001E-2</v>
      </c>
      <c r="P1712" s="2">
        <f t="shared" si="429"/>
        <v>29.250000000000004</v>
      </c>
      <c r="Q1712" s="7">
        <f t="shared" si="430"/>
        <v>132.47282608695653</v>
      </c>
      <c r="R1712" s="2">
        <v>1.2</v>
      </c>
      <c r="S1712" s="2">
        <f t="shared" si="424"/>
        <v>4.45</v>
      </c>
      <c r="T1712" s="2"/>
      <c r="U1712" s="2"/>
      <c r="Y1712" s="8">
        <f t="shared" si="425"/>
        <v>4.7160326086956523</v>
      </c>
    </row>
    <row r="1713" spans="1:25" x14ac:dyDescent="0.25">
      <c r="A1713" s="34">
        <f t="shared" si="434"/>
        <v>1705</v>
      </c>
      <c r="B1713" s="35">
        <f t="shared" si="434"/>
        <v>301</v>
      </c>
      <c r="C1713" s="42" t="s">
        <v>428</v>
      </c>
      <c r="D1713" s="43">
        <v>74</v>
      </c>
      <c r="E1713" s="43">
        <v>1</v>
      </c>
      <c r="F1713" s="36">
        <v>0.2485</v>
      </c>
      <c r="G1713" s="36">
        <f>F1713*0.197</f>
        <v>4.8954500000000005E-2</v>
      </c>
      <c r="H1713" s="36">
        <v>0.15</v>
      </c>
      <c r="I1713" s="37">
        <f>H1713*0.15</f>
        <v>2.2499999999999999E-2</v>
      </c>
      <c r="J1713" s="32">
        <f t="shared" si="423"/>
        <v>0.27750000000000002</v>
      </c>
      <c r="K1713" s="33">
        <f t="shared" si="426"/>
        <v>4.1625000000000002E-2</v>
      </c>
      <c r="L1713" s="52"/>
      <c r="O1713" s="2">
        <f t="shared" si="428"/>
        <v>6.25E-2</v>
      </c>
      <c r="P1713" s="2">
        <f t="shared" si="429"/>
        <v>45</v>
      </c>
      <c r="Q1713" s="7">
        <f t="shared" si="430"/>
        <v>203.80434782608697</v>
      </c>
      <c r="R1713" s="2">
        <v>1.2</v>
      </c>
      <c r="S1713" s="2">
        <f t="shared" si="424"/>
        <v>3.7</v>
      </c>
      <c r="T1713" s="2"/>
      <c r="U1713" s="2"/>
      <c r="Y1713" s="8">
        <f t="shared" si="425"/>
        <v>6.0326086956521747</v>
      </c>
    </row>
    <row r="1714" spans="1:25" x14ac:dyDescent="0.25">
      <c r="A1714" s="34">
        <f t="shared" si="434"/>
        <v>1706</v>
      </c>
      <c r="B1714" s="35">
        <f t="shared" si="434"/>
        <v>302</v>
      </c>
      <c r="C1714" s="42" t="s">
        <v>428</v>
      </c>
      <c r="D1714" s="43">
        <v>74</v>
      </c>
      <c r="E1714" s="43">
        <v>2</v>
      </c>
      <c r="F1714" s="36">
        <v>0.2485</v>
      </c>
      <c r="G1714" s="36">
        <f>F1714*0.197</f>
        <v>4.8954500000000005E-2</v>
      </c>
      <c r="H1714" s="36"/>
      <c r="I1714" s="37">
        <f>H1714*0.15</f>
        <v>0</v>
      </c>
      <c r="J1714" s="32">
        <f t="shared" si="423"/>
        <v>0</v>
      </c>
      <c r="K1714" s="33">
        <f t="shared" si="426"/>
        <v>0</v>
      </c>
      <c r="L1714" s="52"/>
      <c r="O1714" s="2">
        <f t="shared" si="428"/>
        <v>0</v>
      </c>
      <c r="P1714" s="2">
        <f t="shared" si="429"/>
        <v>0</v>
      </c>
      <c r="Q1714" s="7">
        <f t="shared" si="430"/>
        <v>0</v>
      </c>
      <c r="R1714" s="2">
        <v>1.2</v>
      </c>
      <c r="S1714" s="2">
        <f t="shared" si="424"/>
        <v>4.45</v>
      </c>
      <c r="T1714" s="2"/>
      <c r="U1714" s="2"/>
      <c r="Y1714" s="8">
        <f t="shared" si="425"/>
        <v>0</v>
      </c>
    </row>
    <row r="1715" spans="1:25" x14ac:dyDescent="0.25">
      <c r="A1715" s="34">
        <f t="shared" si="434"/>
        <v>1707</v>
      </c>
      <c r="B1715" s="35">
        <f t="shared" si="434"/>
        <v>303</v>
      </c>
      <c r="C1715" s="42" t="s">
        <v>429</v>
      </c>
      <c r="D1715" s="43">
        <v>73</v>
      </c>
      <c r="E1715" s="43">
        <v>1</v>
      </c>
      <c r="F1715" s="36">
        <v>0.33650000000000002</v>
      </c>
      <c r="G1715" s="36">
        <v>1.3101E-2</v>
      </c>
      <c r="H1715" s="36">
        <v>0.17899999999999999</v>
      </c>
      <c r="I1715" s="37">
        <v>2.6849999999999999E-2</v>
      </c>
      <c r="J1715" s="32">
        <f t="shared" si="423"/>
        <v>0.33115</v>
      </c>
      <c r="K1715" s="33">
        <f t="shared" si="426"/>
        <v>4.9672500000000001E-2</v>
      </c>
      <c r="L1715" s="52"/>
      <c r="O1715" s="2">
        <f t="shared" si="428"/>
        <v>7.4583333333333335E-2</v>
      </c>
      <c r="P1715" s="2">
        <f t="shared" si="429"/>
        <v>53.7</v>
      </c>
      <c r="Q1715" s="7">
        <f t="shared" si="430"/>
        <v>243.20652173913047</v>
      </c>
      <c r="R1715" s="2">
        <v>1.2</v>
      </c>
      <c r="S1715" s="2">
        <f t="shared" si="424"/>
        <v>3.7</v>
      </c>
      <c r="T1715" s="2"/>
      <c r="U1715" s="2"/>
      <c r="Y1715" s="8">
        <f t="shared" si="425"/>
        <v>7.1989130434782611</v>
      </c>
    </row>
    <row r="1716" spans="1:25" x14ac:dyDescent="0.25">
      <c r="A1716" s="34">
        <f t="shared" si="434"/>
        <v>1708</v>
      </c>
      <c r="B1716" s="35">
        <f t="shared" si="434"/>
        <v>304</v>
      </c>
      <c r="C1716" s="42" t="s">
        <v>429</v>
      </c>
      <c r="D1716" s="43">
        <v>73</v>
      </c>
      <c r="E1716" s="43">
        <v>2</v>
      </c>
      <c r="F1716" s="36">
        <v>0.33650000000000002</v>
      </c>
      <c r="G1716" s="36">
        <v>7.7819999999999999E-3</v>
      </c>
      <c r="H1716" s="36"/>
      <c r="I1716" s="37"/>
      <c r="J1716" s="32">
        <f t="shared" si="423"/>
        <v>0</v>
      </c>
      <c r="K1716" s="33">
        <f t="shared" si="426"/>
        <v>0</v>
      </c>
      <c r="L1716" s="52"/>
      <c r="O1716" s="2">
        <f t="shared" si="428"/>
        <v>0</v>
      </c>
      <c r="P1716" s="2">
        <f t="shared" si="429"/>
        <v>0</v>
      </c>
      <c r="Q1716" s="7">
        <f t="shared" si="430"/>
        <v>0</v>
      </c>
      <c r="R1716" s="2">
        <v>1.2</v>
      </c>
      <c r="S1716" s="2">
        <f t="shared" si="424"/>
        <v>4.45</v>
      </c>
      <c r="T1716" s="2"/>
      <c r="U1716" s="2"/>
      <c r="Y1716" s="8">
        <f t="shared" si="425"/>
        <v>0</v>
      </c>
    </row>
    <row r="1717" spans="1:25" x14ac:dyDescent="0.25">
      <c r="A1717" s="34">
        <f t="shared" si="434"/>
        <v>1709</v>
      </c>
      <c r="B1717" s="35">
        <f t="shared" si="434"/>
        <v>305</v>
      </c>
      <c r="C1717" s="42" t="s">
        <v>429</v>
      </c>
      <c r="D1717" s="43">
        <v>91</v>
      </c>
      <c r="E1717" s="43"/>
      <c r="F1717" s="36">
        <v>0.13800000000000001</v>
      </c>
      <c r="G1717" s="36">
        <f>F1717*0.197</f>
        <v>2.7186000000000002E-2</v>
      </c>
      <c r="H1717" s="36">
        <v>6.3E-2</v>
      </c>
      <c r="I1717" s="37">
        <f>H1717*0.15</f>
        <v>9.4500000000000001E-3</v>
      </c>
      <c r="J1717" s="32">
        <f t="shared" si="423"/>
        <v>0.14017499999999999</v>
      </c>
      <c r="K1717" s="33">
        <f t="shared" si="426"/>
        <v>2.102625E-2</v>
      </c>
      <c r="L1717" s="52"/>
      <c r="O1717" s="2">
        <f t="shared" si="428"/>
        <v>2.6250000000000002E-2</v>
      </c>
      <c r="P1717" s="2">
        <f t="shared" si="429"/>
        <v>18.900000000000002</v>
      </c>
      <c r="Q1717" s="7">
        <f t="shared" si="430"/>
        <v>85.59782608695653</v>
      </c>
      <c r="R1717" s="2">
        <v>1.2</v>
      </c>
      <c r="S1717" s="2">
        <f t="shared" si="424"/>
        <v>4.45</v>
      </c>
      <c r="T1717" s="2"/>
      <c r="U1717" s="2"/>
      <c r="Y1717" s="8">
        <f t="shared" si="425"/>
        <v>3.0472826086956522</v>
      </c>
    </row>
    <row r="1718" spans="1:25" x14ac:dyDescent="0.25">
      <c r="A1718" s="34">
        <f t="shared" si="434"/>
        <v>1710</v>
      </c>
      <c r="B1718" s="35">
        <f t="shared" si="434"/>
        <v>306</v>
      </c>
      <c r="C1718" s="42" t="s">
        <v>429</v>
      </c>
      <c r="D1718" s="43">
        <v>100</v>
      </c>
      <c r="E1718" s="43">
        <v>1</v>
      </c>
      <c r="F1718" s="36">
        <v>0.128</v>
      </c>
      <c r="G1718" s="36">
        <v>2.52E-2</v>
      </c>
      <c r="H1718" s="36">
        <v>4.4999999999999998E-2</v>
      </c>
      <c r="I1718" s="37">
        <v>6.7000000000000002E-3</v>
      </c>
      <c r="J1718" s="32">
        <f t="shared" si="423"/>
        <v>0.10012500000000001</v>
      </c>
      <c r="K1718" s="33">
        <f t="shared" si="426"/>
        <v>1.5018750000000001E-2</v>
      </c>
      <c r="L1718" s="52"/>
      <c r="O1718" s="2">
        <f t="shared" si="428"/>
        <v>1.8749999999999999E-2</v>
      </c>
      <c r="P1718" s="2">
        <f t="shared" si="429"/>
        <v>13.499999999999998</v>
      </c>
      <c r="Q1718" s="7">
        <f t="shared" si="430"/>
        <v>61.141304347826079</v>
      </c>
      <c r="R1718" s="2">
        <v>1.2</v>
      </c>
      <c r="S1718" s="2">
        <f t="shared" si="424"/>
        <v>4.45</v>
      </c>
      <c r="T1718" s="2"/>
      <c r="U1718" s="2"/>
      <c r="Y1718" s="8">
        <f t="shared" si="425"/>
        <v>2.1766304347826089</v>
      </c>
    </row>
    <row r="1719" spans="1:25" x14ac:dyDescent="0.25">
      <c r="A1719" s="34">
        <f t="shared" si="434"/>
        <v>1711</v>
      </c>
      <c r="B1719" s="35">
        <f t="shared" si="434"/>
        <v>307</v>
      </c>
      <c r="C1719" s="42" t="s">
        <v>429</v>
      </c>
      <c r="D1719" s="43">
        <v>100</v>
      </c>
      <c r="E1719" s="43">
        <v>2</v>
      </c>
      <c r="F1719" s="36">
        <v>0.128</v>
      </c>
      <c r="G1719" s="36">
        <v>2.52E-2</v>
      </c>
      <c r="H1719" s="36">
        <v>4.4999999999999998E-2</v>
      </c>
      <c r="I1719" s="37">
        <v>6.7000000000000002E-3</v>
      </c>
      <c r="J1719" s="32">
        <f t="shared" si="423"/>
        <v>0.10012500000000001</v>
      </c>
      <c r="K1719" s="33">
        <f t="shared" si="426"/>
        <v>1.5018750000000001E-2</v>
      </c>
      <c r="L1719" s="52"/>
      <c r="O1719" s="2">
        <f t="shared" si="428"/>
        <v>1.8749999999999999E-2</v>
      </c>
      <c r="P1719" s="2">
        <f t="shared" si="429"/>
        <v>13.499999999999998</v>
      </c>
      <c r="Q1719" s="7">
        <f t="shared" si="430"/>
        <v>61.141304347826079</v>
      </c>
      <c r="R1719" s="2">
        <v>1.2</v>
      </c>
      <c r="S1719" s="2">
        <f t="shared" si="424"/>
        <v>4.45</v>
      </c>
      <c r="T1719" s="2"/>
      <c r="U1719" s="2"/>
      <c r="Y1719" s="8">
        <f t="shared" si="425"/>
        <v>2.1766304347826089</v>
      </c>
    </row>
    <row r="1720" spans="1:25" x14ac:dyDescent="0.25">
      <c r="A1720" s="34">
        <f t="shared" si="434"/>
        <v>1712</v>
      </c>
      <c r="B1720" s="35">
        <f t="shared" si="434"/>
        <v>308</v>
      </c>
      <c r="C1720" s="42" t="s">
        <v>429</v>
      </c>
      <c r="D1720" s="43">
        <v>121</v>
      </c>
      <c r="E1720" s="43"/>
      <c r="F1720" s="36">
        <f t="shared" ref="F1720:I1721" ca="1" si="435">SUM(F1720:F1720)</f>
        <v>0.32300000000000001</v>
      </c>
      <c r="G1720" s="36">
        <f t="shared" ca="1" si="435"/>
        <v>6.3631000000000007E-2</v>
      </c>
      <c r="H1720" s="36">
        <v>9.9000000000000005E-2</v>
      </c>
      <c r="I1720" s="37">
        <f t="shared" ca="1" si="435"/>
        <v>1.485E-2</v>
      </c>
      <c r="J1720" s="32">
        <f t="shared" si="423"/>
        <v>0.22027500000000003</v>
      </c>
      <c r="K1720" s="33">
        <f t="shared" si="426"/>
        <v>3.3041250000000001E-2</v>
      </c>
      <c r="L1720" s="52"/>
      <c r="O1720" s="2">
        <f t="shared" si="428"/>
        <v>4.1250000000000002E-2</v>
      </c>
      <c r="P1720" s="2">
        <f t="shared" si="429"/>
        <v>29.7</v>
      </c>
      <c r="Q1720" s="7">
        <f t="shared" si="430"/>
        <v>134.51086956521738</v>
      </c>
      <c r="R1720" s="2">
        <v>1.2</v>
      </c>
      <c r="S1720" s="2">
        <f t="shared" si="424"/>
        <v>4.45</v>
      </c>
      <c r="T1720" s="2"/>
      <c r="U1720" s="2"/>
      <c r="Y1720" s="8">
        <f t="shared" si="425"/>
        <v>4.7885869565217396</v>
      </c>
    </row>
    <row r="1721" spans="1:25" x14ac:dyDescent="0.25">
      <c r="A1721" s="34">
        <f t="shared" si="434"/>
        <v>1713</v>
      </c>
      <c r="B1721" s="35">
        <f t="shared" si="434"/>
        <v>309</v>
      </c>
      <c r="C1721" s="42" t="s">
        <v>429</v>
      </c>
      <c r="D1721" s="43">
        <v>124</v>
      </c>
      <c r="E1721" s="43"/>
      <c r="F1721" s="36">
        <f t="shared" ca="1" si="435"/>
        <v>0.14699999999999999</v>
      </c>
      <c r="G1721" s="36">
        <f t="shared" ca="1" si="435"/>
        <v>2.8959000000000002E-2</v>
      </c>
      <c r="H1721" s="36">
        <v>2.3E-2</v>
      </c>
      <c r="I1721" s="37">
        <f t="shared" ca="1" si="435"/>
        <v>3.4499999999999999E-3</v>
      </c>
      <c r="J1721" s="32">
        <f t="shared" si="423"/>
        <v>5.1175000000000012E-2</v>
      </c>
      <c r="K1721" s="33">
        <f t="shared" si="426"/>
        <v>7.6762500000000016E-3</v>
      </c>
      <c r="L1721" s="24" t="s">
        <v>16</v>
      </c>
      <c r="O1721" s="2">
        <f t="shared" si="428"/>
        <v>9.5833333333333343E-3</v>
      </c>
      <c r="P1721" s="2">
        <f t="shared" si="429"/>
        <v>6.9000000000000012</v>
      </c>
      <c r="Q1721" s="7">
        <f t="shared" si="430"/>
        <v>31.250000000000007</v>
      </c>
      <c r="R1721" s="2">
        <v>1.2</v>
      </c>
      <c r="S1721" s="2">
        <f t="shared" si="424"/>
        <v>4.45</v>
      </c>
      <c r="T1721" s="2"/>
      <c r="U1721" s="2"/>
      <c r="Y1721" s="8">
        <f t="shared" si="425"/>
        <v>1.1125000000000003</v>
      </c>
    </row>
    <row r="1722" spans="1:25" x14ac:dyDescent="0.25">
      <c r="A1722" s="34">
        <f t="shared" si="434"/>
        <v>1714</v>
      </c>
      <c r="B1722" s="35">
        <f t="shared" si="434"/>
        <v>310</v>
      </c>
      <c r="C1722" s="42" t="s">
        <v>429</v>
      </c>
      <c r="D1722" s="43">
        <v>130</v>
      </c>
      <c r="E1722" s="43"/>
      <c r="F1722" s="36">
        <v>8.7999999999999995E-2</v>
      </c>
      <c r="G1722" s="36">
        <f>F1722*0.197</f>
        <v>1.7336000000000001E-2</v>
      </c>
      <c r="H1722" s="36">
        <v>4.1000000000000002E-2</v>
      </c>
      <c r="I1722" s="37">
        <f>H1722*0.15</f>
        <v>6.1500000000000001E-3</v>
      </c>
      <c r="J1722" s="32">
        <f t="shared" si="423"/>
        <v>9.1225000000000001E-2</v>
      </c>
      <c r="K1722" s="33">
        <f t="shared" si="426"/>
        <v>1.368375E-2</v>
      </c>
      <c r="L1722" s="24" t="s">
        <v>16</v>
      </c>
      <c r="O1722" s="2">
        <f t="shared" si="428"/>
        <v>1.7083333333333336E-2</v>
      </c>
      <c r="P1722" s="2">
        <f t="shared" si="429"/>
        <v>12.3</v>
      </c>
      <c r="Q1722" s="7">
        <f t="shared" si="430"/>
        <v>55.706521739130437</v>
      </c>
      <c r="R1722" s="2">
        <v>1.2</v>
      </c>
      <c r="S1722" s="2">
        <f t="shared" si="424"/>
        <v>4.45</v>
      </c>
      <c r="T1722" s="2"/>
      <c r="U1722" s="2"/>
      <c r="Y1722" s="8">
        <f t="shared" si="425"/>
        <v>1.9831521739130433</v>
      </c>
    </row>
    <row r="1723" spans="1:25" x14ac:dyDescent="0.25">
      <c r="A1723" s="34">
        <f t="shared" ref="A1723:B1738" si="436">A1722+1</f>
        <v>1715</v>
      </c>
      <c r="B1723" s="35">
        <f t="shared" si="436"/>
        <v>311</v>
      </c>
      <c r="C1723" s="42" t="s">
        <v>429</v>
      </c>
      <c r="D1723" s="43">
        <v>134</v>
      </c>
      <c r="E1723" s="43"/>
      <c r="F1723" s="36">
        <v>8.6999999999999994E-2</v>
      </c>
      <c r="G1723" s="36">
        <f>F1723*0.197</f>
        <v>1.7138999999999998E-2</v>
      </c>
      <c r="H1723" s="36">
        <v>8.7999999999999995E-2</v>
      </c>
      <c r="I1723" s="37">
        <f>H1723*0.15</f>
        <v>1.3199999999999998E-2</v>
      </c>
      <c r="J1723" s="32">
        <f t="shared" si="423"/>
        <v>0.1958</v>
      </c>
      <c r="K1723" s="33">
        <f t="shared" si="426"/>
        <v>2.937E-2</v>
      </c>
      <c r="L1723" s="24" t="s">
        <v>16</v>
      </c>
      <c r="O1723" s="2">
        <f t="shared" si="428"/>
        <v>3.6666666666666667E-2</v>
      </c>
      <c r="P1723" s="2">
        <f t="shared" si="429"/>
        <v>26.4</v>
      </c>
      <c r="Q1723" s="7">
        <f t="shared" si="430"/>
        <v>119.56521739130434</v>
      </c>
      <c r="R1723" s="2">
        <v>1.2</v>
      </c>
      <c r="S1723" s="2">
        <f t="shared" si="424"/>
        <v>4.45</v>
      </c>
      <c r="T1723" s="2"/>
      <c r="U1723" s="2"/>
      <c r="Y1723" s="8">
        <f t="shared" si="425"/>
        <v>4.2565217391304353</v>
      </c>
    </row>
    <row r="1724" spans="1:25" x14ac:dyDescent="0.25">
      <c r="A1724" s="34">
        <f t="shared" si="436"/>
        <v>1716</v>
      </c>
      <c r="B1724" s="35">
        <f t="shared" si="436"/>
        <v>312</v>
      </c>
      <c r="C1724" s="42" t="s">
        <v>429</v>
      </c>
      <c r="D1724" s="43">
        <v>136</v>
      </c>
      <c r="E1724" s="43"/>
      <c r="F1724" s="36">
        <f t="shared" ref="F1724:I1725" ca="1" si="437">SUM(F1724:F1724)</f>
        <v>0.127</v>
      </c>
      <c r="G1724" s="36">
        <f t="shared" ca="1" si="437"/>
        <v>2.5019E-2</v>
      </c>
      <c r="H1724" s="36">
        <v>2.8000000000000001E-2</v>
      </c>
      <c r="I1724" s="37">
        <f t="shared" ca="1" si="437"/>
        <v>4.1999999999999997E-3</v>
      </c>
      <c r="J1724" s="32">
        <f t="shared" si="423"/>
        <v>6.2300000000000001E-2</v>
      </c>
      <c r="K1724" s="33">
        <f t="shared" si="426"/>
        <v>9.3449999999999991E-3</v>
      </c>
      <c r="L1724" s="52"/>
      <c r="O1724" s="2">
        <f t="shared" si="428"/>
        <v>1.1666666666666667E-2</v>
      </c>
      <c r="P1724" s="2">
        <f t="shared" si="429"/>
        <v>8.4</v>
      </c>
      <c r="Q1724" s="7">
        <f t="shared" si="430"/>
        <v>38.04347826086957</v>
      </c>
      <c r="R1724" s="2">
        <v>1.2</v>
      </c>
      <c r="S1724" s="2">
        <f t="shared" si="424"/>
        <v>4.45</v>
      </c>
      <c r="T1724" s="2"/>
      <c r="U1724" s="2"/>
      <c r="Y1724" s="8">
        <f t="shared" si="425"/>
        <v>1.3543478260869566</v>
      </c>
    </row>
    <row r="1725" spans="1:25" x14ac:dyDescent="0.25">
      <c r="A1725" s="34">
        <f t="shared" si="436"/>
        <v>1717</v>
      </c>
      <c r="B1725" s="35">
        <f t="shared" si="436"/>
        <v>313</v>
      </c>
      <c r="C1725" s="42" t="s">
        <v>429</v>
      </c>
      <c r="D1725" s="43">
        <v>139</v>
      </c>
      <c r="E1725" s="43"/>
      <c r="F1725" s="36">
        <f t="shared" ca="1" si="437"/>
        <v>0.13100000000000001</v>
      </c>
      <c r="G1725" s="36">
        <f t="shared" ca="1" si="437"/>
        <v>2.5807E-2</v>
      </c>
      <c r="H1725" s="36">
        <v>6.2E-2</v>
      </c>
      <c r="I1725" s="37">
        <f t="shared" ca="1" si="437"/>
        <v>9.5999999999999992E-3</v>
      </c>
      <c r="J1725" s="32">
        <f t="shared" si="423"/>
        <v>0.13795000000000002</v>
      </c>
      <c r="K1725" s="33">
        <f t="shared" si="426"/>
        <v>2.0692500000000003E-2</v>
      </c>
      <c r="L1725" s="52"/>
      <c r="O1725" s="2">
        <f t="shared" si="428"/>
        <v>2.5833333333333333E-2</v>
      </c>
      <c r="P1725" s="2">
        <f t="shared" si="429"/>
        <v>18.600000000000001</v>
      </c>
      <c r="Q1725" s="7">
        <f t="shared" si="430"/>
        <v>84.239130434782624</v>
      </c>
      <c r="R1725" s="2">
        <v>1.2</v>
      </c>
      <c r="S1725" s="2">
        <f t="shared" si="424"/>
        <v>4.45</v>
      </c>
      <c r="T1725" s="2"/>
      <c r="U1725" s="2"/>
      <c r="Y1725" s="8">
        <f t="shared" si="425"/>
        <v>2.9989130434782609</v>
      </c>
    </row>
    <row r="1726" spans="1:25" x14ac:dyDescent="0.25">
      <c r="A1726" s="34">
        <f t="shared" si="436"/>
        <v>1718</v>
      </c>
      <c r="B1726" s="35">
        <f t="shared" si="436"/>
        <v>314</v>
      </c>
      <c r="C1726" s="42" t="s">
        <v>429</v>
      </c>
      <c r="D1726" s="43">
        <v>141</v>
      </c>
      <c r="E1726" s="43"/>
      <c r="F1726" s="36">
        <v>0.11600000000000001</v>
      </c>
      <c r="G1726" s="36">
        <f t="shared" ref="G1726:G1731" si="438">F1726*0.197</f>
        <v>2.2852000000000001E-2</v>
      </c>
      <c r="H1726" s="36">
        <v>4.2999999999999997E-2</v>
      </c>
      <c r="I1726" s="37">
        <f>H1726*0.15</f>
        <v>6.4499999999999991E-3</v>
      </c>
      <c r="J1726" s="32">
        <f t="shared" si="423"/>
        <v>9.567500000000001E-2</v>
      </c>
      <c r="K1726" s="33">
        <f t="shared" si="426"/>
        <v>1.4351250000000001E-2</v>
      </c>
      <c r="L1726" s="52"/>
      <c r="O1726" s="2">
        <f t="shared" si="428"/>
        <v>1.7916666666666668E-2</v>
      </c>
      <c r="P1726" s="2">
        <f t="shared" si="429"/>
        <v>12.900000000000002</v>
      </c>
      <c r="Q1726" s="7">
        <f t="shared" si="430"/>
        <v>58.423913043478272</v>
      </c>
      <c r="R1726" s="2">
        <v>1.2</v>
      </c>
      <c r="S1726" s="2">
        <f t="shared" si="424"/>
        <v>4.45</v>
      </c>
      <c r="T1726" s="2"/>
      <c r="U1726" s="2"/>
      <c r="Y1726" s="8">
        <f t="shared" si="425"/>
        <v>2.0798913043478264</v>
      </c>
    </row>
    <row r="1727" spans="1:25" x14ac:dyDescent="0.25">
      <c r="A1727" s="34">
        <f t="shared" si="436"/>
        <v>1719</v>
      </c>
      <c r="B1727" s="35">
        <f t="shared" si="436"/>
        <v>315</v>
      </c>
      <c r="C1727" s="42" t="s">
        <v>429</v>
      </c>
      <c r="D1727" s="43">
        <v>150</v>
      </c>
      <c r="E1727" s="43"/>
      <c r="F1727" s="36">
        <v>9.9000000000000005E-2</v>
      </c>
      <c r="G1727" s="36">
        <f t="shared" si="438"/>
        <v>1.9503000000000003E-2</v>
      </c>
      <c r="H1727" s="36">
        <v>2.7E-2</v>
      </c>
      <c r="I1727" s="37">
        <v>4.0499999999999998E-3</v>
      </c>
      <c r="J1727" s="32">
        <f t="shared" si="423"/>
        <v>6.0075000000000003E-2</v>
      </c>
      <c r="K1727" s="33">
        <f t="shared" si="426"/>
        <v>9.0112500000000002E-3</v>
      </c>
      <c r="L1727" s="52"/>
      <c r="O1727" s="2">
        <f t="shared" si="428"/>
        <v>1.125E-2</v>
      </c>
      <c r="P1727" s="2">
        <f t="shared" si="429"/>
        <v>8.1000000000000014</v>
      </c>
      <c r="Q1727" s="7">
        <f t="shared" si="430"/>
        <v>36.684782608695656</v>
      </c>
      <c r="R1727" s="2">
        <v>1.2</v>
      </c>
      <c r="S1727" s="2">
        <f t="shared" si="424"/>
        <v>4.45</v>
      </c>
      <c r="T1727" s="2"/>
      <c r="U1727" s="2"/>
      <c r="Y1727" s="8">
        <f t="shared" si="425"/>
        <v>1.3059782608695654</v>
      </c>
    </row>
    <row r="1728" spans="1:25" x14ac:dyDescent="0.25">
      <c r="A1728" s="34">
        <f t="shared" si="436"/>
        <v>1720</v>
      </c>
      <c r="B1728" s="35">
        <f t="shared" si="436"/>
        <v>316</v>
      </c>
      <c r="C1728" s="42" t="s">
        <v>429</v>
      </c>
      <c r="D1728" s="43">
        <v>152</v>
      </c>
      <c r="E1728" s="43"/>
      <c r="F1728" s="36">
        <v>0.104</v>
      </c>
      <c r="G1728" s="36">
        <f t="shared" si="438"/>
        <v>2.0487999999999999E-2</v>
      </c>
      <c r="H1728" s="36">
        <v>2.8000000000000001E-2</v>
      </c>
      <c r="I1728" s="37">
        <f>H1728*0.15</f>
        <v>4.1999999999999997E-3</v>
      </c>
      <c r="J1728" s="32">
        <f t="shared" si="423"/>
        <v>6.2300000000000001E-2</v>
      </c>
      <c r="K1728" s="33">
        <f t="shared" si="426"/>
        <v>9.3449999999999991E-3</v>
      </c>
      <c r="L1728" s="52"/>
      <c r="O1728" s="2">
        <f t="shared" si="428"/>
        <v>1.1666666666666667E-2</v>
      </c>
      <c r="P1728" s="2">
        <f t="shared" si="429"/>
        <v>8.4</v>
      </c>
      <c r="Q1728" s="7">
        <f t="shared" si="430"/>
        <v>38.04347826086957</v>
      </c>
      <c r="R1728" s="2">
        <v>1.2</v>
      </c>
      <c r="S1728" s="2">
        <f t="shared" si="424"/>
        <v>4.45</v>
      </c>
      <c r="T1728" s="2"/>
      <c r="U1728" s="2"/>
      <c r="Y1728" s="8">
        <f t="shared" si="425"/>
        <v>1.3543478260869566</v>
      </c>
    </row>
    <row r="1729" spans="1:25" x14ac:dyDescent="0.25">
      <c r="A1729" s="34">
        <f t="shared" si="436"/>
        <v>1721</v>
      </c>
      <c r="B1729" s="35">
        <f t="shared" si="436"/>
        <v>317</v>
      </c>
      <c r="C1729" s="42" t="s">
        <v>429</v>
      </c>
      <c r="D1729" s="43">
        <v>154</v>
      </c>
      <c r="E1729" s="43"/>
      <c r="F1729" s="36">
        <v>0.13200000000000001</v>
      </c>
      <c r="G1729" s="36">
        <f t="shared" si="438"/>
        <v>2.6004000000000003E-2</v>
      </c>
      <c r="H1729" s="36">
        <v>0.04</v>
      </c>
      <c r="I1729" s="37">
        <f>H1729*0.15</f>
        <v>6.0000000000000001E-3</v>
      </c>
      <c r="J1729" s="32">
        <f t="shared" si="423"/>
        <v>8.900000000000001E-2</v>
      </c>
      <c r="K1729" s="33">
        <f t="shared" si="426"/>
        <v>1.3350000000000001E-2</v>
      </c>
      <c r="L1729" s="52"/>
      <c r="O1729" s="2">
        <f t="shared" si="428"/>
        <v>1.6666666666666666E-2</v>
      </c>
      <c r="P1729" s="2">
        <f t="shared" si="429"/>
        <v>12</v>
      </c>
      <c r="Q1729" s="7">
        <f t="shared" si="430"/>
        <v>54.347826086956523</v>
      </c>
      <c r="R1729" s="2">
        <v>1.2</v>
      </c>
      <c r="S1729" s="2">
        <f t="shared" si="424"/>
        <v>4.45</v>
      </c>
      <c r="T1729" s="2"/>
      <c r="U1729" s="2"/>
      <c r="Y1729" s="8">
        <f t="shared" si="425"/>
        <v>1.9347826086956523</v>
      </c>
    </row>
    <row r="1730" spans="1:25" x14ac:dyDescent="0.25">
      <c r="A1730" s="34">
        <f t="shared" si="436"/>
        <v>1722</v>
      </c>
      <c r="B1730" s="35">
        <f t="shared" si="436"/>
        <v>318</v>
      </c>
      <c r="C1730" s="42" t="s">
        <v>429</v>
      </c>
      <c r="D1730" s="43">
        <v>156</v>
      </c>
      <c r="E1730" s="43"/>
      <c r="F1730" s="36">
        <v>7.0000000000000007E-2</v>
      </c>
      <c r="G1730" s="36">
        <f t="shared" si="438"/>
        <v>1.3790000000000002E-2</v>
      </c>
      <c r="H1730" s="36">
        <v>1.9E-2</v>
      </c>
      <c r="I1730" s="37">
        <f>H1730*0.15</f>
        <v>2.8499999999999997E-3</v>
      </c>
      <c r="J1730" s="32">
        <f t="shared" si="423"/>
        <v>4.2275E-2</v>
      </c>
      <c r="K1730" s="33">
        <f t="shared" si="426"/>
        <v>6.3412499999999997E-3</v>
      </c>
      <c r="L1730" s="52"/>
      <c r="O1730" s="2">
        <f t="shared" si="428"/>
        <v>7.9166666666666673E-3</v>
      </c>
      <c r="P1730" s="2">
        <f t="shared" si="429"/>
        <v>5.7</v>
      </c>
      <c r="Q1730" s="7">
        <f t="shared" si="430"/>
        <v>25.815217391304348</v>
      </c>
      <c r="R1730" s="2">
        <v>1.2</v>
      </c>
      <c r="S1730" s="2">
        <f t="shared" si="424"/>
        <v>4.45</v>
      </c>
      <c r="T1730" s="2"/>
      <c r="U1730" s="2"/>
      <c r="Y1730" s="8">
        <f t="shared" si="425"/>
        <v>0.91902173913043483</v>
      </c>
    </row>
    <row r="1731" spans="1:25" x14ac:dyDescent="0.25">
      <c r="A1731" s="34">
        <f t="shared" si="436"/>
        <v>1723</v>
      </c>
      <c r="B1731" s="35">
        <f t="shared" si="436"/>
        <v>319</v>
      </c>
      <c r="C1731" s="42" t="s">
        <v>429</v>
      </c>
      <c r="D1731" s="43">
        <v>158</v>
      </c>
      <c r="E1731" s="43"/>
      <c r="F1731" s="36">
        <v>4.1000000000000002E-2</v>
      </c>
      <c r="G1731" s="36">
        <f t="shared" si="438"/>
        <v>8.0770000000000008E-3</v>
      </c>
      <c r="H1731" s="36">
        <v>2.9000000000000001E-2</v>
      </c>
      <c r="I1731" s="37">
        <f>H1731*0.15</f>
        <v>4.3499999999999997E-3</v>
      </c>
      <c r="J1731" s="32">
        <f t="shared" si="423"/>
        <v>6.4524999999999999E-2</v>
      </c>
      <c r="K1731" s="33">
        <f t="shared" si="426"/>
        <v>9.6787499999999999E-3</v>
      </c>
      <c r="L1731" s="52"/>
      <c r="O1731" s="2">
        <f t="shared" si="428"/>
        <v>1.2083333333333335E-2</v>
      </c>
      <c r="P1731" s="2">
        <f t="shared" si="429"/>
        <v>8.7000000000000011</v>
      </c>
      <c r="Q1731" s="7">
        <f t="shared" si="430"/>
        <v>39.402173913043484</v>
      </c>
      <c r="R1731" s="2">
        <v>1.2</v>
      </c>
      <c r="S1731" s="2">
        <f t="shared" si="424"/>
        <v>4.45</v>
      </c>
      <c r="T1731" s="2"/>
      <c r="U1731" s="2"/>
      <c r="Y1731" s="8">
        <f t="shared" si="425"/>
        <v>1.4027173913043478</v>
      </c>
    </row>
    <row r="1732" spans="1:25" x14ac:dyDescent="0.25">
      <c r="A1732" s="34">
        <f t="shared" si="436"/>
        <v>1724</v>
      </c>
      <c r="B1732" s="35">
        <f t="shared" si="436"/>
        <v>320</v>
      </c>
      <c r="C1732" s="42" t="s">
        <v>429</v>
      </c>
      <c r="D1732" s="43">
        <v>159</v>
      </c>
      <c r="E1732" s="43"/>
      <c r="F1732" s="36">
        <f ca="1">SUM(F1732:F1732)</f>
        <v>9.7000000000000003E-2</v>
      </c>
      <c r="G1732" s="36">
        <f ca="1">SUM(G1732:G1732)</f>
        <v>1.9109000000000001E-2</v>
      </c>
      <c r="H1732" s="36">
        <v>2.5999999999999999E-2</v>
      </c>
      <c r="I1732" s="37">
        <f ca="1">SUM(I1732:I1732)</f>
        <v>3.8999999999999998E-3</v>
      </c>
      <c r="J1732" s="32">
        <f t="shared" si="423"/>
        <v>5.7849999999999999E-2</v>
      </c>
      <c r="K1732" s="33">
        <f t="shared" si="426"/>
        <v>8.6774999999999994E-3</v>
      </c>
      <c r="L1732" s="52"/>
      <c r="O1732" s="2">
        <f t="shared" si="428"/>
        <v>1.0833333333333334E-2</v>
      </c>
      <c r="P1732" s="2">
        <f t="shared" si="429"/>
        <v>7.8000000000000007</v>
      </c>
      <c r="Q1732" s="7">
        <f t="shared" si="430"/>
        <v>35.326086956521742</v>
      </c>
      <c r="R1732" s="2">
        <v>1.2</v>
      </c>
      <c r="S1732" s="2">
        <f t="shared" si="424"/>
        <v>4.45</v>
      </c>
      <c r="T1732" s="2"/>
      <c r="U1732" s="2"/>
      <c r="Y1732" s="8">
        <f t="shared" si="425"/>
        <v>1.2576086956521737</v>
      </c>
    </row>
    <row r="1733" spans="1:25" x14ac:dyDescent="0.25">
      <c r="A1733" s="34">
        <f t="shared" si="436"/>
        <v>1725</v>
      </c>
      <c r="B1733" s="35">
        <f t="shared" si="436"/>
        <v>321</v>
      </c>
      <c r="C1733" s="42" t="s">
        <v>429</v>
      </c>
      <c r="D1733" s="43">
        <v>162</v>
      </c>
      <c r="E1733" s="43"/>
      <c r="F1733" s="36">
        <v>5.2999999999999999E-2</v>
      </c>
      <c r="G1733" s="36">
        <f t="shared" ref="G1733:G1745" si="439">F1733*0.197</f>
        <v>1.0441000000000001E-2</v>
      </c>
      <c r="H1733" s="36">
        <v>8.0000000000000002E-3</v>
      </c>
      <c r="I1733" s="37">
        <v>1.1999999999999999E-3</v>
      </c>
      <c r="J1733" s="32">
        <f t="shared" si="423"/>
        <v>1.78E-2</v>
      </c>
      <c r="K1733" s="33">
        <f t="shared" si="426"/>
        <v>2.6700000000000001E-3</v>
      </c>
      <c r="L1733" s="52"/>
      <c r="O1733" s="2">
        <f t="shared" si="428"/>
        <v>3.3333333333333335E-3</v>
      </c>
      <c r="P1733" s="2">
        <f t="shared" si="429"/>
        <v>2.4</v>
      </c>
      <c r="Q1733" s="7">
        <f t="shared" si="430"/>
        <v>10.869565217391305</v>
      </c>
      <c r="R1733" s="2">
        <v>1.2</v>
      </c>
      <c r="S1733" s="2">
        <f t="shared" si="424"/>
        <v>4.45</v>
      </c>
      <c r="T1733" s="2"/>
      <c r="U1733" s="2"/>
      <c r="Y1733" s="8">
        <f t="shared" si="425"/>
        <v>0.38695652173913048</v>
      </c>
    </row>
    <row r="1734" spans="1:25" x14ac:dyDescent="0.25">
      <c r="A1734" s="34">
        <f t="shared" si="436"/>
        <v>1726</v>
      </c>
      <c r="B1734" s="35">
        <f t="shared" si="436"/>
        <v>322</v>
      </c>
      <c r="C1734" s="42" t="s">
        <v>429</v>
      </c>
      <c r="D1734" s="43">
        <v>163</v>
      </c>
      <c r="E1734" s="43"/>
      <c r="F1734" s="36">
        <v>7.8E-2</v>
      </c>
      <c r="G1734" s="36">
        <f t="shared" si="439"/>
        <v>1.5366000000000001E-2</v>
      </c>
      <c r="H1734" s="36">
        <v>1.9E-2</v>
      </c>
      <c r="I1734" s="37">
        <v>2.8500000000000001E-3</v>
      </c>
      <c r="J1734" s="32">
        <f t="shared" si="423"/>
        <v>4.2275E-2</v>
      </c>
      <c r="K1734" s="33">
        <f t="shared" si="426"/>
        <v>6.3412499999999997E-3</v>
      </c>
      <c r="L1734" s="52"/>
      <c r="O1734" s="2">
        <f t="shared" si="428"/>
        <v>7.9166666666666673E-3</v>
      </c>
      <c r="P1734" s="2">
        <f t="shared" si="429"/>
        <v>5.7</v>
      </c>
      <c r="Q1734" s="7">
        <f t="shared" si="430"/>
        <v>25.815217391304348</v>
      </c>
      <c r="R1734" s="2">
        <v>1.2</v>
      </c>
      <c r="S1734" s="2">
        <f t="shared" si="424"/>
        <v>4.45</v>
      </c>
      <c r="T1734" s="2"/>
      <c r="U1734" s="2"/>
      <c r="Y1734" s="8">
        <f t="shared" si="425"/>
        <v>0.91902173913043483</v>
      </c>
    </row>
    <row r="1735" spans="1:25" x14ac:dyDescent="0.25">
      <c r="A1735" s="34">
        <f t="shared" si="436"/>
        <v>1727</v>
      </c>
      <c r="B1735" s="35">
        <f t="shared" si="436"/>
        <v>323</v>
      </c>
      <c r="C1735" s="42" t="s">
        <v>429</v>
      </c>
      <c r="D1735" s="43" t="s">
        <v>430</v>
      </c>
      <c r="E1735" s="43"/>
      <c r="F1735" s="36">
        <v>7.0000000000000007E-2</v>
      </c>
      <c r="G1735" s="36">
        <f t="shared" si="439"/>
        <v>1.3790000000000002E-2</v>
      </c>
      <c r="H1735" s="36">
        <v>8.0000000000000002E-3</v>
      </c>
      <c r="I1735" s="37">
        <f>H1735*0.15</f>
        <v>1.1999999999999999E-3</v>
      </c>
      <c r="J1735" s="32">
        <f t="shared" si="423"/>
        <v>1.78E-2</v>
      </c>
      <c r="K1735" s="33">
        <f t="shared" si="426"/>
        <v>2.6700000000000001E-3</v>
      </c>
      <c r="L1735" s="52"/>
      <c r="O1735" s="2">
        <f t="shared" si="428"/>
        <v>3.3333333333333335E-3</v>
      </c>
      <c r="P1735" s="2">
        <f t="shared" si="429"/>
        <v>2.4</v>
      </c>
      <c r="Q1735" s="7">
        <f t="shared" si="430"/>
        <v>10.869565217391305</v>
      </c>
      <c r="R1735" s="2">
        <v>1.2</v>
      </c>
      <c r="S1735" s="2">
        <f t="shared" si="424"/>
        <v>4.45</v>
      </c>
      <c r="T1735" s="2"/>
      <c r="U1735" s="2"/>
      <c r="Y1735" s="8">
        <f t="shared" si="425"/>
        <v>0.38695652173913048</v>
      </c>
    </row>
    <row r="1736" spans="1:25" x14ac:dyDescent="0.25">
      <c r="A1736" s="34">
        <f t="shared" si="436"/>
        <v>1728</v>
      </c>
      <c r="B1736" s="35">
        <f t="shared" si="436"/>
        <v>324</v>
      </c>
      <c r="C1736" s="42" t="s">
        <v>429</v>
      </c>
      <c r="D1736" s="43">
        <v>164</v>
      </c>
      <c r="E1736" s="43"/>
      <c r="F1736" s="36">
        <v>5.5E-2</v>
      </c>
      <c r="G1736" s="36">
        <f t="shared" si="439"/>
        <v>1.0835000000000001E-2</v>
      </c>
      <c r="H1736" s="36">
        <v>8.0000000000000002E-3</v>
      </c>
      <c r="I1736" s="37">
        <v>1.1999999999999999E-3</v>
      </c>
      <c r="J1736" s="32">
        <f t="shared" si="423"/>
        <v>1.78E-2</v>
      </c>
      <c r="K1736" s="33">
        <f t="shared" si="426"/>
        <v>2.6700000000000001E-3</v>
      </c>
      <c r="L1736" s="52"/>
      <c r="O1736" s="2">
        <f t="shared" si="428"/>
        <v>3.3333333333333335E-3</v>
      </c>
      <c r="P1736" s="2">
        <f t="shared" si="429"/>
        <v>2.4</v>
      </c>
      <c r="Q1736" s="7">
        <f t="shared" si="430"/>
        <v>10.869565217391305</v>
      </c>
      <c r="R1736" s="2">
        <v>1.2</v>
      </c>
      <c r="S1736" s="2">
        <f t="shared" si="424"/>
        <v>4.45</v>
      </c>
      <c r="T1736" s="2"/>
      <c r="U1736" s="2"/>
      <c r="Y1736" s="8">
        <f t="shared" si="425"/>
        <v>0.38695652173913048</v>
      </c>
    </row>
    <row r="1737" spans="1:25" x14ac:dyDescent="0.25">
      <c r="A1737" s="34">
        <f t="shared" si="436"/>
        <v>1729</v>
      </c>
      <c r="B1737" s="35">
        <f t="shared" si="436"/>
        <v>325</v>
      </c>
      <c r="C1737" s="42" t="s">
        <v>429</v>
      </c>
      <c r="D1737" s="43">
        <v>165</v>
      </c>
      <c r="E1737" s="43"/>
      <c r="F1737" s="36">
        <v>8.5000000000000006E-2</v>
      </c>
      <c r="G1737" s="36">
        <f t="shared" si="439"/>
        <v>1.6745000000000003E-2</v>
      </c>
      <c r="H1737" s="36">
        <v>2.5000000000000001E-2</v>
      </c>
      <c r="I1737" s="37">
        <f t="shared" ref="I1737:I1755" si="440">H1737*0.15</f>
        <v>3.7499999999999999E-3</v>
      </c>
      <c r="J1737" s="32">
        <f t="shared" ref="J1737:J1800" si="441">O1737*R1737*S1737</f>
        <v>5.5625000000000008E-2</v>
      </c>
      <c r="K1737" s="33">
        <f t="shared" si="426"/>
        <v>8.3437500000000005E-3</v>
      </c>
      <c r="L1737" s="24" t="s">
        <v>16</v>
      </c>
      <c r="O1737" s="2">
        <f t="shared" si="428"/>
        <v>1.0416666666666668E-2</v>
      </c>
      <c r="P1737" s="2">
        <f t="shared" si="429"/>
        <v>7.5</v>
      </c>
      <c r="Q1737" s="7">
        <f t="shared" si="430"/>
        <v>33.967391304347828</v>
      </c>
      <c r="R1737" s="2">
        <v>1.2</v>
      </c>
      <c r="S1737" s="2">
        <f t="shared" ref="S1737:S1800" si="442">IF(Q1737&lt;=$AE$6,$AF$6,IF(Q1737&lt;=$AE$7,$AF$7,IF(Q1737&lt;=$AE$8,$AF$8,IF(Q1737&lt;=$AE$9,$AF$9,IF(Q1737&lt;=$AE$10,$AF$10,0)))))</f>
        <v>4.45</v>
      </c>
      <c r="T1737" s="2"/>
      <c r="U1737" s="2"/>
      <c r="Y1737" s="8">
        <f t="shared" ref="Y1737:Y1800" si="443">J1737/46*1000</f>
        <v>1.2092391304347827</v>
      </c>
    </row>
    <row r="1738" spans="1:25" x14ac:dyDescent="0.25">
      <c r="A1738" s="34">
        <f t="shared" si="436"/>
        <v>1730</v>
      </c>
      <c r="B1738" s="35" t="e">
        <f>#REF!+1</f>
        <v>#REF!</v>
      </c>
      <c r="C1738" s="42" t="s">
        <v>431</v>
      </c>
      <c r="D1738" s="43">
        <v>21</v>
      </c>
      <c r="E1738" s="43"/>
      <c r="F1738" s="36">
        <v>3.1E-2</v>
      </c>
      <c r="G1738" s="36">
        <f t="shared" si="439"/>
        <v>6.1070000000000004E-3</v>
      </c>
      <c r="H1738" s="36">
        <v>8.9999999999999993E-3</v>
      </c>
      <c r="I1738" s="37">
        <f t="shared" si="440"/>
        <v>1.3499999999999999E-3</v>
      </c>
      <c r="J1738" s="32">
        <f t="shared" si="441"/>
        <v>2.0024999999999998E-2</v>
      </c>
      <c r="K1738" s="33">
        <f t="shared" ref="K1738:K1801" si="444">J1738*0.15</f>
        <v>3.0037499999999995E-3</v>
      </c>
      <c r="L1738" s="52"/>
      <c r="O1738" s="2">
        <f t="shared" si="428"/>
        <v>3.7499999999999999E-3</v>
      </c>
      <c r="P1738" s="2">
        <f t="shared" si="429"/>
        <v>2.6999999999999997</v>
      </c>
      <c r="Q1738" s="7">
        <f t="shared" si="430"/>
        <v>12.228260869565217</v>
      </c>
      <c r="R1738" s="2">
        <v>1.2</v>
      </c>
      <c r="S1738" s="2">
        <f t="shared" si="442"/>
        <v>4.45</v>
      </c>
      <c r="T1738" s="2"/>
      <c r="U1738" s="2"/>
      <c r="Y1738" s="8">
        <f t="shared" si="443"/>
        <v>0.43532608695652164</v>
      </c>
    </row>
    <row r="1739" spans="1:25" x14ac:dyDescent="0.25">
      <c r="A1739" s="34">
        <f t="shared" ref="A1739:B1754" si="445">A1738+1</f>
        <v>1731</v>
      </c>
      <c r="B1739" s="35" t="e">
        <f t="shared" si="445"/>
        <v>#REF!</v>
      </c>
      <c r="C1739" s="42" t="s">
        <v>431</v>
      </c>
      <c r="D1739" s="43" t="s">
        <v>203</v>
      </c>
      <c r="E1739" s="43"/>
      <c r="F1739" s="36">
        <v>2.7E-2</v>
      </c>
      <c r="G1739" s="36">
        <f t="shared" si="439"/>
        <v>5.3189999999999999E-3</v>
      </c>
      <c r="H1739" s="36">
        <v>6.0000000000000001E-3</v>
      </c>
      <c r="I1739" s="37">
        <f t="shared" si="440"/>
        <v>8.9999999999999998E-4</v>
      </c>
      <c r="J1739" s="32">
        <f t="shared" si="441"/>
        <v>1.3350000000000001E-2</v>
      </c>
      <c r="K1739" s="33">
        <f t="shared" si="444"/>
        <v>2.0024999999999999E-3</v>
      </c>
      <c r="L1739" s="52"/>
      <c r="O1739" s="2">
        <f t="shared" ref="O1739:O1802" si="446">H1739/2.4</f>
        <v>2.5000000000000001E-3</v>
      </c>
      <c r="P1739" s="2">
        <f t="shared" ref="P1739:P1802" si="447">O1739*24*30</f>
        <v>1.7999999999999998</v>
      </c>
      <c r="Q1739" s="7">
        <f t="shared" ref="Q1739:Q1802" si="448">P1739/0.2208</f>
        <v>8.1521739130434767</v>
      </c>
      <c r="R1739" s="2">
        <v>1.2</v>
      </c>
      <c r="S1739" s="2">
        <f t="shared" si="442"/>
        <v>4.45</v>
      </c>
      <c r="T1739" s="2"/>
      <c r="U1739" s="2"/>
      <c r="Y1739" s="8">
        <f t="shared" si="443"/>
        <v>0.29021739130434787</v>
      </c>
    </row>
    <row r="1740" spans="1:25" x14ac:dyDescent="0.25">
      <c r="A1740" s="34">
        <f t="shared" si="445"/>
        <v>1732</v>
      </c>
      <c r="B1740" s="35" t="e">
        <f t="shared" si="445"/>
        <v>#REF!</v>
      </c>
      <c r="C1740" s="42" t="s">
        <v>431</v>
      </c>
      <c r="D1740" s="43">
        <v>112</v>
      </c>
      <c r="E1740" s="43"/>
      <c r="F1740" s="36">
        <v>0.129</v>
      </c>
      <c r="G1740" s="36">
        <f t="shared" si="439"/>
        <v>2.5413000000000002E-2</v>
      </c>
      <c r="H1740" s="36">
        <v>4.5999999999999999E-2</v>
      </c>
      <c r="I1740" s="37">
        <f t="shared" si="440"/>
        <v>6.8999999999999999E-3</v>
      </c>
      <c r="J1740" s="32">
        <f t="shared" si="441"/>
        <v>0.10235000000000002</v>
      </c>
      <c r="K1740" s="33">
        <f t="shared" si="444"/>
        <v>1.5352500000000003E-2</v>
      </c>
      <c r="L1740" s="52"/>
      <c r="O1740" s="2">
        <f t="shared" si="446"/>
        <v>1.9166666666666669E-2</v>
      </c>
      <c r="P1740" s="2">
        <f t="shared" si="447"/>
        <v>13.800000000000002</v>
      </c>
      <c r="Q1740" s="7">
        <f t="shared" si="448"/>
        <v>62.500000000000014</v>
      </c>
      <c r="R1740" s="2">
        <v>1.2</v>
      </c>
      <c r="S1740" s="2">
        <f t="shared" si="442"/>
        <v>4.45</v>
      </c>
      <c r="T1740" s="2"/>
      <c r="U1740" s="2"/>
      <c r="Y1740" s="8">
        <f t="shared" si="443"/>
        <v>2.2250000000000005</v>
      </c>
    </row>
    <row r="1741" spans="1:25" x14ac:dyDescent="0.25">
      <c r="A1741" s="34">
        <f t="shared" si="445"/>
        <v>1733</v>
      </c>
      <c r="B1741" s="35" t="e">
        <f t="shared" si="445"/>
        <v>#REF!</v>
      </c>
      <c r="C1741" s="42" t="s">
        <v>431</v>
      </c>
      <c r="D1741" s="43">
        <v>114</v>
      </c>
      <c r="E1741" s="43"/>
      <c r="F1741" s="36">
        <v>8.3000000000000004E-2</v>
      </c>
      <c r="G1741" s="36">
        <f t="shared" si="439"/>
        <v>1.6351000000000001E-2</v>
      </c>
      <c r="H1741" s="36">
        <v>1.7000000000000001E-2</v>
      </c>
      <c r="I1741" s="37">
        <f t="shared" si="440"/>
        <v>2.5500000000000002E-3</v>
      </c>
      <c r="J1741" s="32">
        <f t="shared" si="441"/>
        <v>3.7825000000000004E-2</v>
      </c>
      <c r="K1741" s="33">
        <f t="shared" si="444"/>
        <v>5.6737500000000008E-3</v>
      </c>
      <c r="L1741" s="52"/>
      <c r="O1741" s="2">
        <f t="shared" si="446"/>
        <v>7.0833333333333338E-3</v>
      </c>
      <c r="P1741" s="2">
        <f t="shared" si="447"/>
        <v>5.1000000000000005</v>
      </c>
      <c r="Q1741" s="7">
        <f t="shared" si="448"/>
        <v>23.097826086956523</v>
      </c>
      <c r="R1741" s="2">
        <v>1.2</v>
      </c>
      <c r="S1741" s="2">
        <f t="shared" si="442"/>
        <v>4.45</v>
      </c>
      <c r="T1741" s="2"/>
      <c r="U1741" s="2"/>
      <c r="Y1741" s="8">
        <f t="shared" si="443"/>
        <v>0.82228260869565228</v>
      </c>
    </row>
    <row r="1742" spans="1:25" x14ac:dyDescent="0.25">
      <c r="A1742" s="34">
        <f t="shared" si="445"/>
        <v>1734</v>
      </c>
      <c r="B1742" s="35" t="e">
        <f t="shared" si="445"/>
        <v>#REF!</v>
      </c>
      <c r="C1742" s="42" t="s">
        <v>431</v>
      </c>
      <c r="D1742" s="43">
        <v>116</v>
      </c>
      <c r="E1742" s="43"/>
      <c r="F1742" s="36">
        <v>0.12</v>
      </c>
      <c r="G1742" s="36">
        <f t="shared" si="439"/>
        <v>2.3640000000000001E-2</v>
      </c>
      <c r="H1742" s="36">
        <v>0.28699999999999998</v>
      </c>
      <c r="I1742" s="37">
        <f t="shared" si="440"/>
        <v>4.3049999999999998E-2</v>
      </c>
      <c r="J1742" s="32">
        <f t="shared" si="441"/>
        <v>0.46637499999999998</v>
      </c>
      <c r="K1742" s="33">
        <f t="shared" si="444"/>
        <v>6.9956249999999998E-2</v>
      </c>
      <c r="L1742" s="52"/>
      <c r="O1742" s="2">
        <f t="shared" si="446"/>
        <v>0.11958333333333333</v>
      </c>
      <c r="P1742" s="2">
        <f t="shared" si="447"/>
        <v>86.100000000000009</v>
      </c>
      <c r="Q1742" s="7">
        <f t="shared" si="448"/>
        <v>389.94565217391306</v>
      </c>
      <c r="R1742" s="2">
        <v>1.2</v>
      </c>
      <c r="S1742" s="2">
        <f t="shared" si="442"/>
        <v>3.25</v>
      </c>
      <c r="T1742" s="2"/>
      <c r="U1742" s="2"/>
      <c r="Y1742" s="8">
        <f t="shared" si="443"/>
        <v>10.138586956521738</v>
      </c>
    </row>
    <row r="1743" spans="1:25" x14ac:dyDescent="0.25">
      <c r="A1743" s="34">
        <f t="shared" si="445"/>
        <v>1735</v>
      </c>
      <c r="B1743" s="35" t="e">
        <f t="shared" si="445"/>
        <v>#REF!</v>
      </c>
      <c r="C1743" s="42" t="s">
        <v>431</v>
      </c>
      <c r="D1743" s="43">
        <v>122</v>
      </c>
      <c r="E1743" s="43"/>
      <c r="F1743" s="36">
        <v>3.7999999999999999E-2</v>
      </c>
      <c r="G1743" s="36">
        <f t="shared" si="439"/>
        <v>7.4860000000000005E-3</v>
      </c>
      <c r="H1743" s="36">
        <v>8.0000000000000002E-3</v>
      </c>
      <c r="I1743" s="37">
        <f t="shared" si="440"/>
        <v>1.1999999999999999E-3</v>
      </c>
      <c r="J1743" s="32">
        <f t="shared" si="441"/>
        <v>1.78E-2</v>
      </c>
      <c r="K1743" s="33">
        <f t="shared" si="444"/>
        <v>2.6700000000000001E-3</v>
      </c>
      <c r="L1743" s="24" t="s">
        <v>16</v>
      </c>
      <c r="O1743" s="2">
        <f t="shared" si="446"/>
        <v>3.3333333333333335E-3</v>
      </c>
      <c r="P1743" s="2">
        <f t="shared" si="447"/>
        <v>2.4</v>
      </c>
      <c r="Q1743" s="7">
        <f t="shared" si="448"/>
        <v>10.869565217391305</v>
      </c>
      <c r="R1743" s="2">
        <v>1.2</v>
      </c>
      <c r="S1743" s="2">
        <f t="shared" si="442"/>
        <v>4.45</v>
      </c>
      <c r="T1743" s="2"/>
      <c r="U1743" s="2"/>
      <c r="Y1743" s="8">
        <f t="shared" si="443"/>
        <v>0.38695652173913048</v>
      </c>
    </row>
    <row r="1744" spans="1:25" x14ac:dyDescent="0.25">
      <c r="A1744" s="34">
        <f t="shared" si="445"/>
        <v>1736</v>
      </c>
      <c r="B1744" s="35" t="e">
        <f t="shared" si="445"/>
        <v>#REF!</v>
      </c>
      <c r="C1744" s="42" t="s">
        <v>432</v>
      </c>
      <c r="D1744" s="43">
        <v>134</v>
      </c>
      <c r="E1744" s="43"/>
      <c r="F1744" s="36">
        <v>9.5000000000000001E-2</v>
      </c>
      <c r="G1744" s="36">
        <f t="shared" si="439"/>
        <v>1.8715000000000002E-2</v>
      </c>
      <c r="H1744" s="36">
        <v>4.3999999999999997E-2</v>
      </c>
      <c r="I1744" s="37">
        <f t="shared" si="440"/>
        <v>6.5999999999999991E-3</v>
      </c>
      <c r="J1744" s="32">
        <f t="shared" si="441"/>
        <v>9.7900000000000001E-2</v>
      </c>
      <c r="K1744" s="33">
        <f t="shared" si="444"/>
        <v>1.4685E-2</v>
      </c>
      <c r="L1744" s="24" t="s">
        <v>16</v>
      </c>
      <c r="O1744" s="2">
        <f t="shared" si="446"/>
        <v>1.8333333333333333E-2</v>
      </c>
      <c r="P1744" s="2">
        <f t="shared" si="447"/>
        <v>13.2</v>
      </c>
      <c r="Q1744" s="7">
        <f t="shared" si="448"/>
        <v>59.782608695652172</v>
      </c>
      <c r="R1744" s="2">
        <v>1.2</v>
      </c>
      <c r="S1744" s="2">
        <f t="shared" si="442"/>
        <v>4.45</v>
      </c>
      <c r="T1744" s="2"/>
      <c r="U1744" s="2"/>
      <c r="Y1744" s="8">
        <f t="shared" si="443"/>
        <v>2.1282608695652177</v>
      </c>
    </row>
    <row r="1745" spans="1:25" x14ac:dyDescent="0.25">
      <c r="A1745" s="34">
        <f t="shared" si="445"/>
        <v>1737</v>
      </c>
      <c r="B1745" s="35" t="e">
        <f t="shared" si="445"/>
        <v>#REF!</v>
      </c>
      <c r="C1745" s="42" t="s">
        <v>432</v>
      </c>
      <c r="D1745" s="43">
        <v>136</v>
      </c>
      <c r="E1745" s="43"/>
      <c r="F1745" s="36">
        <v>0.157</v>
      </c>
      <c r="G1745" s="36">
        <f t="shared" si="439"/>
        <v>3.0929000000000002E-2</v>
      </c>
      <c r="H1745" s="36">
        <v>4.4899999999999995E-2</v>
      </c>
      <c r="I1745" s="37">
        <f t="shared" si="440"/>
        <v>6.7349999999999988E-3</v>
      </c>
      <c r="J1745" s="32">
        <f t="shared" si="441"/>
        <v>9.9902500000000005E-2</v>
      </c>
      <c r="K1745" s="33">
        <f t="shared" si="444"/>
        <v>1.4985375E-2</v>
      </c>
      <c r="L1745" s="52"/>
      <c r="O1745" s="2">
        <f t="shared" si="446"/>
        <v>1.8708333333333334E-2</v>
      </c>
      <c r="P1745" s="2">
        <f t="shared" si="447"/>
        <v>13.47</v>
      </c>
      <c r="Q1745" s="7">
        <f t="shared" si="448"/>
        <v>61.005434782608702</v>
      </c>
      <c r="R1745" s="2">
        <v>1.2</v>
      </c>
      <c r="S1745" s="2">
        <f t="shared" si="442"/>
        <v>4.45</v>
      </c>
      <c r="T1745" s="2"/>
      <c r="U1745" s="2"/>
      <c r="Y1745" s="8">
        <f t="shared" si="443"/>
        <v>2.1717934782608697</v>
      </c>
    </row>
    <row r="1746" spans="1:25" x14ac:dyDescent="0.25">
      <c r="A1746" s="34">
        <f t="shared" si="445"/>
        <v>1738</v>
      </c>
      <c r="B1746" s="35" t="e">
        <f t="shared" si="445"/>
        <v>#REF!</v>
      </c>
      <c r="C1746" s="42" t="s">
        <v>432</v>
      </c>
      <c r="D1746" s="43">
        <v>164</v>
      </c>
      <c r="E1746" s="43"/>
      <c r="F1746" s="36">
        <f>0.255716+0.082545</f>
        <v>0.33826099999999998</v>
      </c>
      <c r="G1746" s="36">
        <f>F1746*0.197</f>
        <v>6.6637417000000004E-2</v>
      </c>
      <c r="H1746" s="36">
        <f>0.06278</f>
        <v>6.2780000000000002E-2</v>
      </c>
      <c r="I1746" s="37">
        <f t="shared" si="440"/>
        <v>9.417E-3</v>
      </c>
      <c r="J1746" s="32">
        <f t="shared" si="441"/>
        <v>0.13968550000000002</v>
      </c>
      <c r="K1746" s="33">
        <f t="shared" si="444"/>
        <v>2.0952825000000001E-2</v>
      </c>
      <c r="L1746" s="52"/>
      <c r="O1746" s="2">
        <f t="shared" si="446"/>
        <v>2.6158333333333336E-2</v>
      </c>
      <c r="P1746" s="2">
        <f t="shared" si="447"/>
        <v>18.834</v>
      </c>
      <c r="Q1746" s="7">
        <f t="shared" si="448"/>
        <v>85.298913043478265</v>
      </c>
      <c r="R1746" s="2">
        <v>1.2</v>
      </c>
      <c r="S1746" s="2">
        <f t="shared" si="442"/>
        <v>4.45</v>
      </c>
      <c r="T1746" s="2"/>
      <c r="U1746" s="2"/>
      <c r="Y1746" s="8">
        <f t="shared" si="443"/>
        <v>3.0366413043478264</v>
      </c>
    </row>
    <row r="1747" spans="1:25" x14ac:dyDescent="0.25">
      <c r="A1747" s="34">
        <f t="shared" si="445"/>
        <v>1739</v>
      </c>
      <c r="B1747" s="35" t="e">
        <f t="shared" si="445"/>
        <v>#REF!</v>
      </c>
      <c r="C1747" s="42" t="s">
        <v>432</v>
      </c>
      <c r="D1747" s="43" t="s">
        <v>433</v>
      </c>
      <c r="E1747" s="43"/>
      <c r="F1747" s="36">
        <v>0.14399999999999999</v>
      </c>
      <c r="G1747" s="36">
        <f t="shared" ref="G1747:G1756" si="449">F1747*0.197</f>
        <v>2.8367999999999997E-2</v>
      </c>
      <c r="H1747" s="36">
        <v>6.6000000000000003E-2</v>
      </c>
      <c r="I1747" s="37">
        <f t="shared" si="440"/>
        <v>9.9000000000000008E-3</v>
      </c>
      <c r="J1747" s="32">
        <f t="shared" si="441"/>
        <v>0.14685000000000001</v>
      </c>
      <c r="K1747" s="33">
        <f t="shared" si="444"/>
        <v>2.2027500000000002E-2</v>
      </c>
      <c r="L1747" s="52"/>
      <c r="O1747" s="2">
        <f t="shared" si="446"/>
        <v>2.7500000000000004E-2</v>
      </c>
      <c r="P1747" s="2">
        <f t="shared" si="447"/>
        <v>19.800000000000004</v>
      </c>
      <c r="Q1747" s="7">
        <f t="shared" si="448"/>
        <v>89.673913043478279</v>
      </c>
      <c r="R1747" s="2">
        <v>1.2</v>
      </c>
      <c r="S1747" s="2">
        <f t="shared" si="442"/>
        <v>4.45</v>
      </c>
      <c r="T1747" s="2"/>
      <c r="U1747" s="2"/>
      <c r="Y1747" s="8">
        <f t="shared" si="443"/>
        <v>3.1923913043478263</v>
      </c>
    </row>
    <row r="1748" spans="1:25" x14ac:dyDescent="0.25">
      <c r="A1748" s="34">
        <f t="shared" si="445"/>
        <v>1740</v>
      </c>
      <c r="B1748" s="35" t="e">
        <f t="shared" si="445"/>
        <v>#REF!</v>
      </c>
      <c r="C1748" s="42" t="s">
        <v>432</v>
      </c>
      <c r="D1748" s="43">
        <v>173</v>
      </c>
      <c r="E1748" s="43"/>
      <c r="F1748" s="36">
        <v>0.13300000000000001</v>
      </c>
      <c r="G1748" s="36">
        <f t="shared" si="449"/>
        <v>2.6201000000000002E-2</v>
      </c>
      <c r="H1748" s="36">
        <v>6.3E-2</v>
      </c>
      <c r="I1748" s="37">
        <f t="shared" si="440"/>
        <v>9.4500000000000001E-3</v>
      </c>
      <c r="J1748" s="32">
        <f t="shared" si="441"/>
        <v>0.14017499999999999</v>
      </c>
      <c r="K1748" s="33">
        <f t="shared" si="444"/>
        <v>2.102625E-2</v>
      </c>
      <c r="L1748" s="52"/>
      <c r="O1748" s="2">
        <f t="shared" si="446"/>
        <v>2.6250000000000002E-2</v>
      </c>
      <c r="P1748" s="2">
        <f t="shared" si="447"/>
        <v>18.900000000000002</v>
      </c>
      <c r="Q1748" s="7">
        <f t="shared" si="448"/>
        <v>85.59782608695653</v>
      </c>
      <c r="R1748" s="2">
        <v>1.2</v>
      </c>
      <c r="S1748" s="2">
        <f t="shared" si="442"/>
        <v>4.45</v>
      </c>
      <c r="T1748" s="2"/>
      <c r="U1748" s="2"/>
      <c r="Y1748" s="8">
        <f t="shared" si="443"/>
        <v>3.0472826086956522</v>
      </c>
    </row>
    <row r="1749" spans="1:25" x14ac:dyDescent="0.25">
      <c r="A1749" s="34">
        <f t="shared" si="445"/>
        <v>1741</v>
      </c>
      <c r="B1749" s="35" t="e">
        <f t="shared" si="445"/>
        <v>#REF!</v>
      </c>
      <c r="C1749" s="42" t="s">
        <v>432</v>
      </c>
      <c r="D1749" s="43">
        <v>200</v>
      </c>
      <c r="E1749" s="43"/>
      <c r="F1749" s="36">
        <v>0.156</v>
      </c>
      <c r="G1749" s="36">
        <f t="shared" si="449"/>
        <v>3.0732000000000002E-2</v>
      </c>
      <c r="H1749" s="36">
        <v>7.0000000000000007E-2</v>
      </c>
      <c r="I1749" s="37">
        <f t="shared" si="440"/>
        <v>1.0500000000000001E-2</v>
      </c>
      <c r="J1749" s="32">
        <f t="shared" si="441"/>
        <v>0.15575000000000003</v>
      </c>
      <c r="K1749" s="33">
        <f t="shared" si="444"/>
        <v>2.3362500000000005E-2</v>
      </c>
      <c r="L1749" s="52"/>
      <c r="O1749" s="2">
        <f t="shared" si="446"/>
        <v>2.9166666666666671E-2</v>
      </c>
      <c r="P1749" s="2">
        <f t="shared" si="447"/>
        <v>21.000000000000004</v>
      </c>
      <c r="Q1749" s="7">
        <f t="shared" si="448"/>
        <v>95.108695652173935</v>
      </c>
      <c r="R1749" s="2">
        <v>1.2</v>
      </c>
      <c r="S1749" s="2">
        <f t="shared" si="442"/>
        <v>4.45</v>
      </c>
      <c r="T1749" s="2"/>
      <c r="U1749" s="2"/>
      <c r="Y1749" s="8">
        <f t="shared" si="443"/>
        <v>3.385869565217392</v>
      </c>
    </row>
    <row r="1750" spans="1:25" x14ac:dyDescent="0.25">
      <c r="A1750" s="34">
        <f t="shared" si="445"/>
        <v>1742</v>
      </c>
      <c r="B1750" s="35" t="e">
        <f t="shared" si="445"/>
        <v>#REF!</v>
      </c>
      <c r="C1750" s="42" t="s">
        <v>432</v>
      </c>
      <c r="D1750" s="43">
        <v>202</v>
      </c>
      <c r="E1750" s="43"/>
      <c r="F1750" s="36">
        <v>0.13300000000000001</v>
      </c>
      <c r="G1750" s="36">
        <f t="shared" si="449"/>
        <v>2.6201000000000002E-2</v>
      </c>
      <c r="H1750" s="36">
        <v>7.0000000000000007E-2</v>
      </c>
      <c r="I1750" s="37">
        <f t="shared" si="440"/>
        <v>1.0500000000000001E-2</v>
      </c>
      <c r="J1750" s="32">
        <f t="shared" si="441"/>
        <v>0.15575000000000003</v>
      </c>
      <c r="K1750" s="33">
        <f t="shared" si="444"/>
        <v>2.3362500000000005E-2</v>
      </c>
      <c r="L1750" s="52"/>
      <c r="O1750" s="2">
        <f t="shared" si="446"/>
        <v>2.9166666666666671E-2</v>
      </c>
      <c r="P1750" s="2">
        <f t="shared" si="447"/>
        <v>21.000000000000004</v>
      </c>
      <c r="Q1750" s="7">
        <f t="shared" si="448"/>
        <v>95.108695652173935</v>
      </c>
      <c r="R1750" s="2">
        <v>1.2</v>
      </c>
      <c r="S1750" s="2">
        <f t="shared" si="442"/>
        <v>4.45</v>
      </c>
      <c r="T1750" s="2"/>
      <c r="U1750" s="2"/>
      <c r="Y1750" s="8">
        <f t="shared" si="443"/>
        <v>3.385869565217392</v>
      </c>
    </row>
    <row r="1751" spans="1:25" x14ac:dyDescent="0.25">
      <c r="A1751" s="34">
        <f t="shared" si="445"/>
        <v>1743</v>
      </c>
      <c r="B1751" s="35" t="e">
        <f t="shared" si="445"/>
        <v>#REF!</v>
      </c>
      <c r="C1751" s="42" t="s">
        <v>432</v>
      </c>
      <c r="D1751" s="43">
        <v>239</v>
      </c>
      <c r="E1751" s="43"/>
      <c r="F1751" s="36">
        <v>0.16200000000000001</v>
      </c>
      <c r="G1751" s="36">
        <f t="shared" si="449"/>
        <v>3.1914000000000005E-2</v>
      </c>
      <c r="H1751" s="36">
        <v>6.6000000000000003E-2</v>
      </c>
      <c r="I1751" s="37">
        <f t="shared" si="440"/>
        <v>9.9000000000000008E-3</v>
      </c>
      <c r="J1751" s="32">
        <f t="shared" si="441"/>
        <v>0.14685000000000001</v>
      </c>
      <c r="K1751" s="33">
        <f t="shared" si="444"/>
        <v>2.2027500000000002E-2</v>
      </c>
      <c r="L1751" s="52"/>
      <c r="O1751" s="2">
        <f t="shared" si="446"/>
        <v>2.7500000000000004E-2</v>
      </c>
      <c r="P1751" s="2">
        <f t="shared" si="447"/>
        <v>19.800000000000004</v>
      </c>
      <c r="Q1751" s="7">
        <f t="shared" si="448"/>
        <v>89.673913043478279</v>
      </c>
      <c r="R1751" s="2">
        <v>1.2</v>
      </c>
      <c r="S1751" s="2">
        <f t="shared" si="442"/>
        <v>4.45</v>
      </c>
      <c r="T1751" s="2"/>
      <c r="U1751" s="2"/>
      <c r="Y1751" s="8">
        <f t="shared" si="443"/>
        <v>3.1923913043478263</v>
      </c>
    </row>
    <row r="1752" spans="1:25" x14ac:dyDescent="0.25">
      <c r="A1752" s="34">
        <f t="shared" si="445"/>
        <v>1744</v>
      </c>
      <c r="B1752" s="35" t="e">
        <f t="shared" si="445"/>
        <v>#REF!</v>
      </c>
      <c r="C1752" s="42" t="s">
        <v>432</v>
      </c>
      <c r="D1752" s="43">
        <v>241</v>
      </c>
      <c r="E1752" s="43"/>
      <c r="F1752" s="36">
        <v>0.14899999999999999</v>
      </c>
      <c r="G1752" s="36">
        <f t="shared" si="449"/>
        <v>2.9353000000000001E-2</v>
      </c>
      <c r="H1752" s="36">
        <v>5.1999999999999998E-2</v>
      </c>
      <c r="I1752" s="37">
        <f t="shared" si="440"/>
        <v>7.7999999999999996E-3</v>
      </c>
      <c r="J1752" s="32">
        <f t="shared" si="441"/>
        <v>0.1157</v>
      </c>
      <c r="K1752" s="33">
        <f t="shared" si="444"/>
        <v>1.7354999999999999E-2</v>
      </c>
      <c r="L1752" s="52"/>
      <c r="O1752" s="2">
        <f t="shared" si="446"/>
        <v>2.1666666666666667E-2</v>
      </c>
      <c r="P1752" s="2">
        <f t="shared" si="447"/>
        <v>15.600000000000001</v>
      </c>
      <c r="Q1752" s="7">
        <f t="shared" si="448"/>
        <v>70.652173913043484</v>
      </c>
      <c r="R1752" s="2">
        <v>1.2</v>
      </c>
      <c r="S1752" s="2">
        <f t="shared" si="442"/>
        <v>4.45</v>
      </c>
      <c r="T1752" s="2"/>
      <c r="U1752" s="2"/>
      <c r="Y1752" s="8">
        <f t="shared" si="443"/>
        <v>2.5152173913043474</v>
      </c>
    </row>
    <row r="1753" spans="1:25" x14ac:dyDescent="0.25">
      <c r="A1753" s="34">
        <f t="shared" si="445"/>
        <v>1745</v>
      </c>
      <c r="B1753" s="35" t="e">
        <f t="shared" si="445"/>
        <v>#REF!</v>
      </c>
      <c r="C1753" s="42" t="s">
        <v>434</v>
      </c>
      <c r="D1753" s="43">
        <v>10</v>
      </c>
      <c r="E1753" s="43"/>
      <c r="F1753" s="36">
        <v>6.7000000000000004E-2</v>
      </c>
      <c r="G1753" s="36">
        <f t="shared" si="449"/>
        <v>1.3199000000000001E-2</v>
      </c>
      <c r="H1753" s="36">
        <v>1.2E-2</v>
      </c>
      <c r="I1753" s="37">
        <f t="shared" si="440"/>
        <v>1.8E-3</v>
      </c>
      <c r="J1753" s="32">
        <f t="shared" si="441"/>
        <v>2.6700000000000002E-2</v>
      </c>
      <c r="K1753" s="33">
        <f t="shared" si="444"/>
        <v>4.0049999999999999E-3</v>
      </c>
      <c r="L1753" s="52"/>
      <c r="O1753" s="2">
        <f t="shared" si="446"/>
        <v>5.0000000000000001E-3</v>
      </c>
      <c r="P1753" s="2">
        <f t="shared" si="447"/>
        <v>3.5999999999999996</v>
      </c>
      <c r="Q1753" s="7">
        <f t="shared" si="448"/>
        <v>16.304347826086953</v>
      </c>
      <c r="R1753" s="2">
        <v>1.2</v>
      </c>
      <c r="S1753" s="2">
        <f t="shared" si="442"/>
        <v>4.45</v>
      </c>
      <c r="T1753" s="2"/>
      <c r="U1753" s="2"/>
      <c r="Y1753" s="8">
        <f t="shared" si="443"/>
        <v>0.58043478260869574</v>
      </c>
    </row>
    <row r="1754" spans="1:25" x14ac:dyDescent="0.25">
      <c r="A1754" s="34">
        <f t="shared" si="445"/>
        <v>1746</v>
      </c>
      <c r="B1754" s="35" t="e">
        <f t="shared" si="445"/>
        <v>#REF!</v>
      </c>
      <c r="C1754" s="42" t="s">
        <v>434</v>
      </c>
      <c r="D1754" s="43">
        <v>31</v>
      </c>
      <c r="E1754" s="43"/>
      <c r="F1754" s="36">
        <v>5.8000000000000003E-2</v>
      </c>
      <c r="G1754" s="36">
        <f t="shared" si="449"/>
        <v>1.1426E-2</v>
      </c>
      <c r="H1754" s="36">
        <v>2E-3</v>
      </c>
      <c r="I1754" s="37">
        <f t="shared" si="440"/>
        <v>2.9999999999999997E-4</v>
      </c>
      <c r="J1754" s="32">
        <f t="shared" si="441"/>
        <v>4.45E-3</v>
      </c>
      <c r="K1754" s="33">
        <f t="shared" si="444"/>
        <v>6.6750000000000002E-4</v>
      </c>
      <c r="L1754" s="24" t="s">
        <v>16</v>
      </c>
      <c r="O1754" s="2">
        <f t="shared" si="446"/>
        <v>8.3333333333333339E-4</v>
      </c>
      <c r="P1754" s="2">
        <f t="shared" si="447"/>
        <v>0.6</v>
      </c>
      <c r="Q1754" s="7">
        <f t="shared" si="448"/>
        <v>2.7173913043478262</v>
      </c>
      <c r="R1754" s="2">
        <v>1.2</v>
      </c>
      <c r="S1754" s="2">
        <f t="shared" si="442"/>
        <v>4.45</v>
      </c>
      <c r="T1754" s="2"/>
      <c r="U1754" s="2"/>
      <c r="Y1754" s="8">
        <f t="shared" si="443"/>
        <v>9.6739130434782619E-2</v>
      </c>
    </row>
    <row r="1755" spans="1:25" x14ac:dyDescent="0.25">
      <c r="A1755" s="34">
        <f t="shared" ref="A1755:B1770" si="450">A1754+1</f>
        <v>1747</v>
      </c>
      <c r="B1755" s="35" t="e">
        <f t="shared" si="450"/>
        <v>#REF!</v>
      </c>
      <c r="C1755" s="42" t="s">
        <v>434</v>
      </c>
      <c r="D1755" s="43">
        <v>33</v>
      </c>
      <c r="E1755" s="43"/>
      <c r="F1755" s="36">
        <v>5.8000000000000003E-2</v>
      </c>
      <c r="G1755" s="36">
        <f t="shared" si="449"/>
        <v>1.1426E-2</v>
      </c>
      <c r="H1755" s="36">
        <v>4.0000000000000001E-3</v>
      </c>
      <c r="I1755" s="37">
        <f t="shared" si="440"/>
        <v>5.9999999999999995E-4</v>
      </c>
      <c r="J1755" s="32">
        <f t="shared" si="441"/>
        <v>8.8999999999999999E-3</v>
      </c>
      <c r="K1755" s="33">
        <f t="shared" si="444"/>
        <v>1.335E-3</v>
      </c>
      <c r="L1755" s="24" t="s">
        <v>16</v>
      </c>
      <c r="O1755" s="2">
        <f t="shared" si="446"/>
        <v>1.6666666666666668E-3</v>
      </c>
      <c r="P1755" s="2">
        <f t="shared" si="447"/>
        <v>1.2</v>
      </c>
      <c r="Q1755" s="7">
        <f t="shared" si="448"/>
        <v>5.4347826086956523</v>
      </c>
      <c r="R1755" s="2">
        <v>1.2</v>
      </c>
      <c r="S1755" s="2">
        <f t="shared" si="442"/>
        <v>4.45</v>
      </c>
      <c r="T1755" s="2"/>
      <c r="U1755" s="2"/>
      <c r="Y1755" s="8">
        <f t="shared" si="443"/>
        <v>0.19347826086956524</v>
      </c>
    </row>
    <row r="1756" spans="1:25" x14ac:dyDescent="0.25">
      <c r="A1756" s="34">
        <f t="shared" si="450"/>
        <v>1748</v>
      </c>
      <c r="B1756" s="35" t="e">
        <f t="shared" si="450"/>
        <v>#REF!</v>
      </c>
      <c r="C1756" s="42" t="s">
        <v>434</v>
      </c>
      <c r="D1756" s="43">
        <v>100</v>
      </c>
      <c r="E1756" s="43"/>
      <c r="F1756" s="36">
        <v>0.16300000000000001</v>
      </c>
      <c r="G1756" s="36">
        <f t="shared" si="449"/>
        <v>3.2111000000000001E-2</v>
      </c>
      <c r="H1756" s="36">
        <v>0.05</v>
      </c>
      <c r="I1756" s="37">
        <v>7.4999999999999997E-3</v>
      </c>
      <c r="J1756" s="32">
        <f t="shared" si="441"/>
        <v>0.11125000000000002</v>
      </c>
      <c r="K1756" s="33">
        <f t="shared" si="444"/>
        <v>1.6687500000000001E-2</v>
      </c>
      <c r="L1756" s="52"/>
      <c r="O1756" s="2">
        <f t="shared" si="446"/>
        <v>2.0833333333333336E-2</v>
      </c>
      <c r="P1756" s="2">
        <f t="shared" si="447"/>
        <v>15</v>
      </c>
      <c r="Q1756" s="7">
        <f t="shared" si="448"/>
        <v>67.934782608695656</v>
      </c>
      <c r="R1756" s="2">
        <v>1.2</v>
      </c>
      <c r="S1756" s="2">
        <f t="shared" si="442"/>
        <v>4.45</v>
      </c>
      <c r="T1756" s="2"/>
      <c r="U1756" s="2"/>
      <c r="Y1756" s="8">
        <f t="shared" si="443"/>
        <v>2.4184782608695654</v>
      </c>
    </row>
    <row r="1757" spans="1:25" x14ac:dyDescent="0.25">
      <c r="A1757" s="34">
        <f t="shared" si="450"/>
        <v>1749</v>
      </c>
      <c r="B1757" s="35" t="e">
        <f t="shared" si="450"/>
        <v>#REF!</v>
      </c>
      <c r="C1757" s="42" t="s">
        <v>435</v>
      </c>
      <c r="D1757" s="43">
        <v>8</v>
      </c>
      <c r="E1757" s="43">
        <v>1</v>
      </c>
      <c r="F1757" s="36">
        <v>0.24299999999999999</v>
      </c>
      <c r="G1757" s="36">
        <v>4.7800000000000002E-2</v>
      </c>
      <c r="H1757" s="36">
        <v>7.8E-2</v>
      </c>
      <c r="I1757" s="37">
        <v>1.18E-2</v>
      </c>
      <c r="J1757" s="32">
        <f t="shared" si="441"/>
        <v>0.17355000000000001</v>
      </c>
      <c r="K1757" s="33">
        <f t="shared" si="444"/>
        <v>2.60325E-2</v>
      </c>
      <c r="L1757" s="52"/>
      <c r="O1757" s="2">
        <f t="shared" si="446"/>
        <v>3.2500000000000001E-2</v>
      </c>
      <c r="P1757" s="2">
        <f t="shared" si="447"/>
        <v>23.400000000000002</v>
      </c>
      <c r="Q1757" s="7">
        <f t="shared" si="448"/>
        <v>105.97826086956523</v>
      </c>
      <c r="R1757" s="2">
        <v>1.2</v>
      </c>
      <c r="S1757" s="2">
        <f t="shared" si="442"/>
        <v>4.45</v>
      </c>
      <c r="T1757" s="2"/>
      <c r="U1757" s="2"/>
      <c r="Y1757" s="8">
        <f t="shared" si="443"/>
        <v>3.7728260869565218</v>
      </c>
    </row>
    <row r="1758" spans="1:25" x14ac:dyDescent="0.25">
      <c r="A1758" s="34">
        <f t="shared" si="450"/>
        <v>1750</v>
      </c>
      <c r="B1758" s="35" t="e">
        <f t="shared" si="450"/>
        <v>#REF!</v>
      </c>
      <c r="C1758" s="42" t="s">
        <v>435</v>
      </c>
      <c r="D1758" s="43">
        <v>8</v>
      </c>
      <c r="E1758" s="43">
        <v>2</v>
      </c>
      <c r="F1758" s="36">
        <v>0.24299999999999999</v>
      </c>
      <c r="G1758" s="36">
        <v>4.7800000000000002E-2</v>
      </c>
      <c r="H1758" s="36">
        <v>7.8E-2</v>
      </c>
      <c r="I1758" s="37">
        <v>1.18E-2</v>
      </c>
      <c r="J1758" s="32">
        <f t="shared" si="441"/>
        <v>0.17355000000000001</v>
      </c>
      <c r="K1758" s="33">
        <f t="shared" si="444"/>
        <v>2.60325E-2</v>
      </c>
      <c r="L1758" s="52"/>
      <c r="O1758" s="2">
        <f t="shared" si="446"/>
        <v>3.2500000000000001E-2</v>
      </c>
      <c r="P1758" s="2">
        <f t="shared" si="447"/>
        <v>23.400000000000002</v>
      </c>
      <c r="Q1758" s="7">
        <f t="shared" si="448"/>
        <v>105.97826086956523</v>
      </c>
      <c r="R1758" s="2">
        <v>1.2</v>
      </c>
      <c r="S1758" s="2">
        <f t="shared" si="442"/>
        <v>4.45</v>
      </c>
      <c r="T1758" s="2"/>
      <c r="U1758" s="2"/>
      <c r="Y1758" s="8">
        <f t="shared" si="443"/>
        <v>3.7728260869565218</v>
      </c>
    </row>
    <row r="1759" spans="1:25" x14ac:dyDescent="0.25">
      <c r="A1759" s="34">
        <f t="shared" si="450"/>
        <v>1751</v>
      </c>
      <c r="B1759" s="35" t="e">
        <f t="shared" si="450"/>
        <v>#REF!</v>
      </c>
      <c r="C1759" s="42" t="s">
        <v>435</v>
      </c>
      <c r="D1759" s="43">
        <v>10</v>
      </c>
      <c r="E1759" s="43"/>
      <c r="F1759" s="36">
        <v>7.6999999999999999E-2</v>
      </c>
      <c r="G1759" s="36">
        <f t="shared" ref="G1759:G1773" si="451">F1759*0.197</f>
        <v>1.5169E-2</v>
      </c>
      <c r="H1759" s="36">
        <v>1.9E-2</v>
      </c>
      <c r="I1759" s="37">
        <f t="shared" ref="I1759:I1783" si="452">H1759*0.15</f>
        <v>2.8499999999999997E-3</v>
      </c>
      <c r="J1759" s="32">
        <f t="shared" si="441"/>
        <v>4.2275E-2</v>
      </c>
      <c r="K1759" s="33">
        <f t="shared" si="444"/>
        <v>6.3412499999999997E-3</v>
      </c>
      <c r="L1759" s="52"/>
      <c r="O1759" s="2">
        <f t="shared" si="446"/>
        <v>7.9166666666666673E-3</v>
      </c>
      <c r="P1759" s="2">
        <f t="shared" si="447"/>
        <v>5.7</v>
      </c>
      <c r="Q1759" s="7">
        <f t="shared" si="448"/>
        <v>25.815217391304348</v>
      </c>
      <c r="R1759" s="2">
        <v>1.2</v>
      </c>
      <c r="S1759" s="2">
        <f t="shared" si="442"/>
        <v>4.45</v>
      </c>
      <c r="T1759" s="2"/>
      <c r="U1759" s="2"/>
      <c r="Y1759" s="8">
        <f t="shared" si="443"/>
        <v>0.91902173913043483</v>
      </c>
    </row>
    <row r="1760" spans="1:25" x14ac:dyDescent="0.25">
      <c r="A1760" s="34">
        <f t="shared" si="450"/>
        <v>1752</v>
      </c>
      <c r="B1760" s="35" t="e">
        <f t="shared" si="450"/>
        <v>#REF!</v>
      </c>
      <c r="C1760" s="42" t="s">
        <v>435</v>
      </c>
      <c r="D1760" s="43">
        <v>12</v>
      </c>
      <c r="E1760" s="43"/>
      <c r="F1760" s="36">
        <v>0.126</v>
      </c>
      <c r="G1760" s="36">
        <f t="shared" si="451"/>
        <v>2.4822E-2</v>
      </c>
      <c r="H1760" s="36">
        <v>4.9000000000000002E-2</v>
      </c>
      <c r="I1760" s="37">
        <f t="shared" si="452"/>
        <v>7.3499999999999998E-3</v>
      </c>
      <c r="J1760" s="32">
        <f t="shared" si="441"/>
        <v>0.10902500000000002</v>
      </c>
      <c r="K1760" s="33">
        <f t="shared" si="444"/>
        <v>1.6353750000000004E-2</v>
      </c>
      <c r="L1760" s="52"/>
      <c r="O1760" s="2">
        <f t="shared" si="446"/>
        <v>2.041666666666667E-2</v>
      </c>
      <c r="P1760" s="2">
        <f t="shared" si="447"/>
        <v>14.700000000000003</v>
      </c>
      <c r="Q1760" s="7">
        <f t="shared" si="448"/>
        <v>66.576086956521749</v>
      </c>
      <c r="R1760" s="2">
        <v>1.2</v>
      </c>
      <c r="S1760" s="2">
        <f t="shared" si="442"/>
        <v>4.45</v>
      </c>
      <c r="T1760" s="2"/>
      <c r="U1760" s="2"/>
      <c r="Y1760" s="8">
        <f t="shared" si="443"/>
        <v>2.3701086956521746</v>
      </c>
    </row>
    <row r="1761" spans="1:25" x14ac:dyDescent="0.25">
      <c r="A1761" s="34">
        <f t="shared" si="450"/>
        <v>1753</v>
      </c>
      <c r="B1761" s="35" t="e">
        <f t="shared" si="450"/>
        <v>#REF!</v>
      </c>
      <c r="C1761" s="42" t="s">
        <v>436</v>
      </c>
      <c r="D1761" s="43">
        <v>152</v>
      </c>
      <c r="E1761" s="43"/>
      <c r="F1761" s="36">
        <v>9.9000000000000005E-2</v>
      </c>
      <c r="G1761" s="36">
        <f t="shared" si="451"/>
        <v>1.9503000000000003E-2</v>
      </c>
      <c r="H1761" s="36">
        <v>2.4E-2</v>
      </c>
      <c r="I1761" s="37">
        <f t="shared" si="452"/>
        <v>3.5999999999999999E-3</v>
      </c>
      <c r="J1761" s="32">
        <f t="shared" si="441"/>
        <v>5.3400000000000003E-2</v>
      </c>
      <c r="K1761" s="33">
        <f t="shared" si="444"/>
        <v>8.0099999999999998E-3</v>
      </c>
      <c r="L1761" s="52"/>
      <c r="O1761" s="2">
        <f t="shared" si="446"/>
        <v>0.01</v>
      </c>
      <c r="P1761" s="2">
        <f t="shared" si="447"/>
        <v>7.1999999999999993</v>
      </c>
      <c r="Q1761" s="7">
        <f t="shared" si="448"/>
        <v>32.608695652173907</v>
      </c>
      <c r="R1761" s="2">
        <v>1.2</v>
      </c>
      <c r="S1761" s="2">
        <f t="shared" si="442"/>
        <v>4.45</v>
      </c>
      <c r="T1761" s="2"/>
      <c r="U1761" s="2"/>
      <c r="Y1761" s="8">
        <f t="shared" si="443"/>
        <v>1.1608695652173915</v>
      </c>
    </row>
    <row r="1762" spans="1:25" x14ac:dyDescent="0.25">
      <c r="A1762" s="34">
        <f t="shared" si="450"/>
        <v>1754</v>
      </c>
      <c r="B1762" s="35" t="e">
        <f t="shared" si="450"/>
        <v>#REF!</v>
      </c>
      <c r="C1762" s="42" t="s">
        <v>436</v>
      </c>
      <c r="D1762" s="43">
        <v>162</v>
      </c>
      <c r="E1762" s="43"/>
      <c r="F1762" s="36">
        <v>8.2000000000000003E-2</v>
      </c>
      <c r="G1762" s="36">
        <f t="shared" si="451"/>
        <v>1.6154000000000002E-2</v>
      </c>
      <c r="H1762" s="36">
        <v>0.05</v>
      </c>
      <c r="I1762" s="37">
        <f t="shared" si="452"/>
        <v>7.4999999999999997E-3</v>
      </c>
      <c r="J1762" s="32">
        <f t="shared" si="441"/>
        <v>0.11125000000000002</v>
      </c>
      <c r="K1762" s="33">
        <f t="shared" si="444"/>
        <v>1.6687500000000001E-2</v>
      </c>
      <c r="L1762" s="52"/>
      <c r="O1762" s="2">
        <f t="shared" si="446"/>
        <v>2.0833333333333336E-2</v>
      </c>
      <c r="P1762" s="2">
        <f t="shared" si="447"/>
        <v>15</v>
      </c>
      <c r="Q1762" s="7">
        <f t="shared" si="448"/>
        <v>67.934782608695656</v>
      </c>
      <c r="R1762" s="2">
        <v>1.2</v>
      </c>
      <c r="S1762" s="2">
        <f t="shared" si="442"/>
        <v>4.45</v>
      </c>
      <c r="T1762" s="2"/>
      <c r="U1762" s="2"/>
      <c r="Y1762" s="8">
        <f t="shared" si="443"/>
        <v>2.4184782608695654</v>
      </c>
    </row>
    <row r="1763" spans="1:25" x14ac:dyDescent="0.25">
      <c r="A1763" s="34">
        <f t="shared" si="450"/>
        <v>1755</v>
      </c>
      <c r="B1763" s="35" t="e">
        <f t="shared" si="450"/>
        <v>#REF!</v>
      </c>
      <c r="C1763" s="42" t="s">
        <v>437</v>
      </c>
      <c r="D1763" s="43" t="s">
        <v>97</v>
      </c>
      <c r="E1763" s="43"/>
      <c r="F1763" s="36">
        <v>0.13800000000000001</v>
      </c>
      <c r="G1763" s="36">
        <f t="shared" si="451"/>
        <v>2.7186000000000002E-2</v>
      </c>
      <c r="H1763" s="36">
        <v>7.5999999999999998E-2</v>
      </c>
      <c r="I1763" s="37">
        <f t="shared" si="452"/>
        <v>1.1399999999999999E-2</v>
      </c>
      <c r="J1763" s="32">
        <f t="shared" si="441"/>
        <v>0.1691</v>
      </c>
      <c r="K1763" s="33">
        <f t="shared" si="444"/>
        <v>2.5364999999999999E-2</v>
      </c>
      <c r="L1763" s="52"/>
      <c r="O1763" s="2">
        <f t="shared" si="446"/>
        <v>3.1666666666666669E-2</v>
      </c>
      <c r="P1763" s="2">
        <f t="shared" si="447"/>
        <v>22.8</v>
      </c>
      <c r="Q1763" s="7">
        <f t="shared" si="448"/>
        <v>103.26086956521739</v>
      </c>
      <c r="R1763" s="2">
        <v>1.2</v>
      </c>
      <c r="S1763" s="2">
        <f t="shared" si="442"/>
        <v>4.45</v>
      </c>
      <c r="T1763" s="2"/>
      <c r="U1763" s="2"/>
      <c r="Y1763" s="8">
        <f t="shared" si="443"/>
        <v>3.6760869565217393</v>
      </c>
    </row>
    <row r="1764" spans="1:25" x14ac:dyDescent="0.25">
      <c r="A1764" s="34">
        <f t="shared" si="450"/>
        <v>1756</v>
      </c>
      <c r="B1764" s="35" t="e">
        <f t="shared" si="450"/>
        <v>#REF!</v>
      </c>
      <c r="C1764" s="42" t="s">
        <v>438</v>
      </c>
      <c r="D1764" s="43">
        <v>5</v>
      </c>
      <c r="E1764" s="43"/>
      <c r="F1764" s="36">
        <v>9.0999999999999998E-2</v>
      </c>
      <c r="G1764" s="36">
        <f t="shared" si="451"/>
        <v>1.7927000000000002E-2</v>
      </c>
      <c r="H1764" s="36">
        <v>3.3000000000000002E-2</v>
      </c>
      <c r="I1764" s="37">
        <f t="shared" si="452"/>
        <v>4.9500000000000004E-3</v>
      </c>
      <c r="J1764" s="32">
        <f t="shared" si="441"/>
        <v>7.3425000000000004E-2</v>
      </c>
      <c r="K1764" s="33">
        <f t="shared" si="444"/>
        <v>1.1013750000000001E-2</v>
      </c>
      <c r="L1764" s="52"/>
      <c r="O1764" s="2">
        <f t="shared" si="446"/>
        <v>1.3750000000000002E-2</v>
      </c>
      <c r="P1764" s="2">
        <f t="shared" si="447"/>
        <v>9.9000000000000021</v>
      </c>
      <c r="Q1764" s="7">
        <f t="shared" si="448"/>
        <v>44.83695652173914</v>
      </c>
      <c r="R1764" s="2">
        <v>1.2</v>
      </c>
      <c r="S1764" s="2">
        <f t="shared" si="442"/>
        <v>4.45</v>
      </c>
      <c r="T1764" s="2"/>
      <c r="U1764" s="2"/>
      <c r="Y1764" s="8">
        <f t="shared" si="443"/>
        <v>1.5961956521739131</v>
      </c>
    </row>
    <row r="1765" spans="1:25" x14ac:dyDescent="0.25">
      <c r="A1765" s="34">
        <f t="shared" si="450"/>
        <v>1757</v>
      </c>
      <c r="B1765" s="35" t="e">
        <f t="shared" si="450"/>
        <v>#REF!</v>
      </c>
      <c r="C1765" s="42" t="s">
        <v>438</v>
      </c>
      <c r="D1765" s="43">
        <v>18</v>
      </c>
      <c r="E1765" s="43"/>
      <c r="F1765" s="36">
        <v>0.13500000000000001</v>
      </c>
      <c r="G1765" s="36">
        <f t="shared" si="451"/>
        <v>2.6595000000000004E-2</v>
      </c>
      <c r="H1765" s="36">
        <v>5.2999999999999999E-2</v>
      </c>
      <c r="I1765" s="37">
        <f t="shared" si="452"/>
        <v>7.9499999999999987E-3</v>
      </c>
      <c r="J1765" s="32">
        <f t="shared" si="441"/>
        <v>0.117925</v>
      </c>
      <c r="K1765" s="33">
        <f t="shared" si="444"/>
        <v>1.768875E-2</v>
      </c>
      <c r="L1765" s="52"/>
      <c r="O1765" s="2">
        <f t="shared" si="446"/>
        <v>2.2083333333333333E-2</v>
      </c>
      <c r="P1765" s="2">
        <f t="shared" si="447"/>
        <v>15.9</v>
      </c>
      <c r="Q1765" s="7">
        <f t="shared" si="448"/>
        <v>72.010869565217391</v>
      </c>
      <c r="R1765" s="2">
        <v>1.2</v>
      </c>
      <c r="S1765" s="2">
        <f t="shared" si="442"/>
        <v>4.45</v>
      </c>
      <c r="T1765" s="2"/>
      <c r="U1765" s="2"/>
      <c r="Y1765" s="8">
        <f t="shared" si="443"/>
        <v>2.5635869565217391</v>
      </c>
    </row>
    <row r="1766" spans="1:25" x14ac:dyDescent="0.25">
      <c r="A1766" s="34">
        <f t="shared" si="450"/>
        <v>1758</v>
      </c>
      <c r="B1766" s="35" t="e">
        <f t="shared" si="450"/>
        <v>#REF!</v>
      </c>
      <c r="C1766" s="42" t="s">
        <v>438</v>
      </c>
      <c r="D1766" s="43">
        <v>21</v>
      </c>
      <c r="E1766" s="43">
        <v>1</v>
      </c>
      <c r="F1766" s="36">
        <v>0.14960000000000001</v>
      </c>
      <c r="G1766" s="36">
        <f t="shared" si="451"/>
        <v>2.9471200000000003E-2</v>
      </c>
      <c r="H1766" s="36">
        <v>5.5E-2</v>
      </c>
      <c r="I1766" s="37">
        <f t="shared" si="452"/>
        <v>8.2500000000000004E-3</v>
      </c>
      <c r="J1766" s="32">
        <f t="shared" si="441"/>
        <v>0.12237500000000001</v>
      </c>
      <c r="K1766" s="33">
        <f t="shared" si="444"/>
        <v>1.8356250000000001E-2</v>
      </c>
      <c r="L1766" s="52"/>
      <c r="O1766" s="2">
        <f t="shared" si="446"/>
        <v>2.2916666666666669E-2</v>
      </c>
      <c r="P1766" s="2">
        <f t="shared" si="447"/>
        <v>16.5</v>
      </c>
      <c r="Q1766" s="7">
        <f t="shared" si="448"/>
        <v>74.728260869565219</v>
      </c>
      <c r="R1766" s="2">
        <v>1.2</v>
      </c>
      <c r="S1766" s="2">
        <f t="shared" si="442"/>
        <v>4.45</v>
      </c>
      <c r="T1766" s="2"/>
      <c r="U1766" s="2"/>
      <c r="Y1766" s="8">
        <f t="shared" si="443"/>
        <v>2.660326086956522</v>
      </c>
    </row>
    <row r="1767" spans="1:25" x14ac:dyDescent="0.25">
      <c r="A1767" s="34">
        <f t="shared" si="450"/>
        <v>1759</v>
      </c>
      <c r="B1767" s="35" t="e">
        <f t="shared" si="450"/>
        <v>#REF!</v>
      </c>
      <c r="C1767" s="42" t="s">
        <v>438</v>
      </c>
      <c r="D1767" s="43">
        <v>21</v>
      </c>
      <c r="E1767" s="43">
        <v>2</v>
      </c>
      <c r="F1767" s="36">
        <v>0.14960000000000001</v>
      </c>
      <c r="G1767" s="36">
        <f t="shared" si="451"/>
        <v>2.9471200000000003E-2</v>
      </c>
      <c r="H1767" s="36">
        <v>5.5E-2</v>
      </c>
      <c r="I1767" s="37">
        <f t="shared" si="452"/>
        <v>8.2500000000000004E-3</v>
      </c>
      <c r="J1767" s="32">
        <f t="shared" si="441"/>
        <v>0.12237500000000001</v>
      </c>
      <c r="K1767" s="33">
        <f t="shared" si="444"/>
        <v>1.8356250000000001E-2</v>
      </c>
      <c r="L1767" s="52"/>
      <c r="O1767" s="2">
        <f t="shared" si="446"/>
        <v>2.2916666666666669E-2</v>
      </c>
      <c r="P1767" s="2">
        <f t="shared" si="447"/>
        <v>16.5</v>
      </c>
      <c r="Q1767" s="7">
        <f t="shared" si="448"/>
        <v>74.728260869565219</v>
      </c>
      <c r="R1767" s="2">
        <v>1.2</v>
      </c>
      <c r="S1767" s="2">
        <f t="shared" si="442"/>
        <v>4.45</v>
      </c>
      <c r="T1767" s="2"/>
      <c r="U1767" s="2"/>
      <c r="Y1767" s="8">
        <f t="shared" si="443"/>
        <v>2.660326086956522</v>
      </c>
    </row>
    <row r="1768" spans="1:25" x14ac:dyDescent="0.25">
      <c r="A1768" s="34">
        <f t="shared" si="450"/>
        <v>1760</v>
      </c>
      <c r="B1768" s="35" t="e">
        <f t="shared" si="450"/>
        <v>#REF!</v>
      </c>
      <c r="C1768" s="42" t="s">
        <v>438</v>
      </c>
      <c r="D1768" s="43">
        <v>21</v>
      </c>
      <c r="E1768" s="43">
        <v>3</v>
      </c>
      <c r="F1768" s="36">
        <v>0.1226</v>
      </c>
      <c r="G1768" s="36">
        <f t="shared" si="451"/>
        <v>2.4152200000000002E-2</v>
      </c>
      <c r="H1768" s="36">
        <v>5.1999999999999998E-2</v>
      </c>
      <c r="I1768" s="37">
        <f t="shared" si="452"/>
        <v>7.7999999999999996E-3</v>
      </c>
      <c r="J1768" s="32">
        <f t="shared" si="441"/>
        <v>0.1157</v>
      </c>
      <c r="K1768" s="33">
        <f t="shared" si="444"/>
        <v>1.7354999999999999E-2</v>
      </c>
      <c r="L1768" s="52"/>
      <c r="O1768" s="2">
        <f t="shared" si="446"/>
        <v>2.1666666666666667E-2</v>
      </c>
      <c r="P1768" s="2">
        <f t="shared" si="447"/>
        <v>15.600000000000001</v>
      </c>
      <c r="Q1768" s="7">
        <f t="shared" si="448"/>
        <v>70.652173913043484</v>
      </c>
      <c r="R1768" s="2">
        <v>1.2</v>
      </c>
      <c r="S1768" s="2">
        <f t="shared" si="442"/>
        <v>4.45</v>
      </c>
      <c r="T1768" s="2"/>
      <c r="U1768" s="2"/>
      <c r="Y1768" s="8">
        <f t="shared" si="443"/>
        <v>2.5152173913043474</v>
      </c>
    </row>
    <row r="1769" spans="1:25" x14ac:dyDescent="0.25">
      <c r="A1769" s="34">
        <f t="shared" si="450"/>
        <v>1761</v>
      </c>
      <c r="B1769" s="35" t="e">
        <f t="shared" si="450"/>
        <v>#REF!</v>
      </c>
      <c r="C1769" s="42" t="s">
        <v>438</v>
      </c>
      <c r="D1769" s="43">
        <v>23</v>
      </c>
      <c r="E1769" s="43"/>
      <c r="F1769" s="36">
        <v>8.2000000000000003E-2</v>
      </c>
      <c r="G1769" s="36">
        <f t="shared" si="451"/>
        <v>1.6154000000000002E-2</v>
      </c>
      <c r="H1769" s="36">
        <v>3.3000000000000002E-2</v>
      </c>
      <c r="I1769" s="37">
        <f t="shared" si="452"/>
        <v>4.9500000000000004E-3</v>
      </c>
      <c r="J1769" s="32">
        <f t="shared" si="441"/>
        <v>7.3425000000000004E-2</v>
      </c>
      <c r="K1769" s="33">
        <f t="shared" si="444"/>
        <v>1.1013750000000001E-2</v>
      </c>
      <c r="L1769" s="52"/>
      <c r="O1769" s="2">
        <f t="shared" si="446"/>
        <v>1.3750000000000002E-2</v>
      </c>
      <c r="P1769" s="2">
        <f t="shared" si="447"/>
        <v>9.9000000000000021</v>
      </c>
      <c r="Q1769" s="7">
        <f t="shared" si="448"/>
        <v>44.83695652173914</v>
      </c>
      <c r="R1769" s="2">
        <v>1.2</v>
      </c>
      <c r="S1769" s="2">
        <f t="shared" si="442"/>
        <v>4.45</v>
      </c>
      <c r="T1769" s="2"/>
      <c r="U1769" s="2"/>
      <c r="Y1769" s="8">
        <f t="shared" si="443"/>
        <v>1.5961956521739131</v>
      </c>
    </row>
    <row r="1770" spans="1:25" x14ac:dyDescent="0.25">
      <c r="A1770" s="34">
        <f t="shared" si="450"/>
        <v>1762</v>
      </c>
      <c r="B1770" s="35" t="e">
        <f t="shared" si="450"/>
        <v>#REF!</v>
      </c>
      <c r="C1770" s="42" t="s">
        <v>438</v>
      </c>
      <c r="D1770" s="43">
        <v>25</v>
      </c>
      <c r="E1770" s="43"/>
      <c r="F1770" s="36">
        <v>8.3000000000000004E-2</v>
      </c>
      <c r="G1770" s="36">
        <f t="shared" si="451"/>
        <v>1.6351000000000001E-2</v>
      </c>
      <c r="H1770" s="36">
        <v>4.7E-2</v>
      </c>
      <c r="I1770" s="37">
        <f t="shared" si="452"/>
        <v>7.0499999999999998E-3</v>
      </c>
      <c r="J1770" s="32">
        <f t="shared" si="441"/>
        <v>0.104575</v>
      </c>
      <c r="K1770" s="33">
        <f t="shared" si="444"/>
        <v>1.5686249999999999E-2</v>
      </c>
      <c r="L1770" s="52"/>
      <c r="O1770" s="2">
        <f t="shared" si="446"/>
        <v>1.9583333333333335E-2</v>
      </c>
      <c r="P1770" s="2">
        <f t="shared" si="447"/>
        <v>14.100000000000001</v>
      </c>
      <c r="Q1770" s="7">
        <f t="shared" si="448"/>
        <v>63.858695652173921</v>
      </c>
      <c r="R1770" s="2">
        <v>1.2</v>
      </c>
      <c r="S1770" s="2">
        <f t="shared" si="442"/>
        <v>4.45</v>
      </c>
      <c r="T1770" s="2"/>
      <c r="U1770" s="2"/>
      <c r="Y1770" s="8">
        <f t="shared" si="443"/>
        <v>2.2733695652173913</v>
      </c>
    </row>
    <row r="1771" spans="1:25" x14ac:dyDescent="0.25">
      <c r="A1771" s="34">
        <f t="shared" ref="A1771:B1786" si="453">A1770+1</f>
        <v>1763</v>
      </c>
      <c r="B1771" s="35" t="e">
        <f t="shared" si="453"/>
        <v>#REF!</v>
      </c>
      <c r="C1771" s="42" t="s">
        <v>401</v>
      </c>
      <c r="D1771" s="43">
        <v>84</v>
      </c>
      <c r="E1771" s="43"/>
      <c r="F1771" s="36">
        <v>6.9000000000000006E-2</v>
      </c>
      <c r="G1771" s="36">
        <f t="shared" si="451"/>
        <v>1.3593000000000001E-2</v>
      </c>
      <c r="H1771" s="36">
        <v>4.0000000000000001E-3</v>
      </c>
      <c r="I1771" s="37">
        <f t="shared" si="452"/>
        <v>5.9999999999999995E-4</v>
      </c>
      <c r="J1771" s="32">
        <f t="shared" si="441"/>
        <v>8.8999999999999999E-3</v>
      </c>
      <c r="K1771" s="33">
        <f t="shared" si="444"/>
        <v>1.335E-3</v>
      </c>
      <c r="L1771" s="24" t="s">
        <v>16</v>
      </c>
      <c r="O1771" s="2">
        <f t="shared" si="446"/>
        <v>1.6666666666666668E-3</v>
      </c>
      <c r="P1771" s="2">
        <f t="shared" si="447"/>
        <v>1.2</v>
      </c>
      <c r="Q1771" s="7">
        <f t="shared" si="448"/>
        <v>5.4347826086956523</v>
      </c>
      <c r="R1771" s="2">
        <v>1.2</v>
      </c>
      <c r="S1771" s="2">
        <f t="shared" si="442"/>
        <v>4.45</v>
      </c>
      <c r="T1771" s="2"/>
      <c r="U1771" s="2"/>
      <c r="Y1771" s="8">
        <f t="shared" si="443"/>
        <v>0.19347826086956524</v>
      </c>
    </row>
    <row r="1772" spans="1:25" x14ac:dyDescent="0.25">
      <c r="A1772" s="34">
        <f t="shared" si="453"/>
        <v>1764</v>
      </c>
      <c r="B1772" s="35" t="e">
        <f t="shared" si="453"/>
        <v>#REF!</v>
      </c>
      <c r="C1772" s="42" t="s">
        <v>401</v>
      </c>
      <c r="D1772" s="43">
        <v>90</v>
      </c>
      <c r="E1772" s="43"/>
      <c r="F1772" s="36">
        <v>9.9000000000000005E-2</v>
      </c>
      <c r="G1772" s="36">
        <f t="shared" si="451"/>
        <v>1.9503000000000003E-2</v>
      </c>
      <c r="H1772" s="36">
        <v>1.7000000000000001E-2</v>
      </c>
      <c r="I1772" s="37">
        <f t="shared" si="452"/>
        <v>2.5500000000000002E-3</v>
      </c>
      <c r="J1772" s="32">
        <f t="shared" si="441"/>
        <v>3.7825000000000004E-2</v>
      </c>
      <c r="K1772" s="33">
        <f t="shared" si="444"/>
        <v>5.6737500000000008E-3</v>
      </c>
      <c r="L1772" s="52"/>
      <c r="O1772" s="2">
        <f t="shared" si="446"/>
        <v>7.0833333333333338E-3</v>
      </c>
      <c r="P1772" s="2">
        <f t="shared" si="447"/>
        <v>5.1000000000000005</v>
      </c>
      <c r="Q1772" s="7">
        <f t="shared" si="448"/>
        <v>23.097826086956523</v>
      </c>
      <c r="R1772" s="2">
        <v>1.2</v>
      </c>
      <c r="S1772" s="2">
        <f t="shared" si="442"/>
        <v>4.45</v>
      </c>
      <c r="T1772" s="2"/>
      <c r="U1772" s="2"/>
      <c r="Y1772" s="8">
        <f t="shared" si="443"/>
        <v>0.82228260869565228</v>
      </c>
    </row>
    <row r="1773" spans="1:25" x14ac:dyDescent="0.25">
      <c r="A1773" s="34">
        <f t="shared" si="453"/>
        <v>1765</v>
      </c>
      <c r="B1773" s="35" t="e">
        <f t="shared" si="453"/>
        <v>#REF!</v>
      </c>
      <c r="C1773" s="42" t="s">
        <v>401</v>
      </c>
      <c r="D1773" s="43">
        <v>92</v>
      </c>
      <c r="E1773" s="43"/>
      <c r="F1773" s="36">
        <v>0.186</v>
      </c>
      <c r="G1773" s="36">
        <f t="shared" si="451"/>
        <v>3.6642000000000001E-2</v>
      </c>
      <c r="H1773" s="36">
        <v>3.7999999999999999E-2</v>
      </c>
      <c r="I1773" s="37">
        <f t="shared" si="452"/>
        <v>5.6999999999999993E-3</v>
      </c>
      <c r="J1773" s="32">
        <f t="shared" si="441"/>
        <v>8.455E-2</v>
      </c>
      <c r="K1773" s="33">
        <f t="shared" si="444"/>
        <v>1.2682499999999999E-2</v>
      </c>
      <c r="L1773" s="52"/>
      <c r="O1773" s="2">
        <f t="shared" si="446"/>
        <v>1.5833333333333335E-2</v>
      </c>
      <c r="P1773" s="2">
        <f t="shared" si="447"/>
        <v>11.4</v>
      </c>
      <c r="Q1773" s="7">
        <f t="shared" si="448"/>
        <v>51.630434782608695</v>
      </c>
      <c r="R1773" s="2">
        <v>1.2</v>
      </c>
      <c r="S1773" s="2">
        <f t="shared" si="442"/>
        <v>4.45</v>
      </c>
      <c r="T1773" s="2"/>
      <c r="U1773" s="2"/>
      <c r="Y1773" s="8">
        <f t="shared" si="443"/>
        <v>1.8380434782608697</v>
      </c>
    </row>
    <row r="1774" spans="1:25" x14ac:dyDescent="0.25">
      <c r="A1774" s="34">
        <f t="shared" si="453"/>
        <v>1766</v>
      </c>
      <c r="B1774" s="35" t="e">
        <f t="shared" si="453"/>
        <v>#REF!</v>
      </c>
      <c r="C1774" s="42" t="s">
        <v>401</v>
      </c>
      <c r="D1774" s="43">
        <v>93</v>
      </c>
      <c r="E1774" s="43">
        <v>1</v>
      </c>
      <c r="F1774" s="36">
        <v>0.254</v>
      </c>
      <c r="G1774" s="36">
        <v>5.0099999999999999E-2</v>
      </c>
      <c r="H1774" s="36">
        <v>8.7499999999999994E-2</v>
      </c>
      <c r="I1774" s="37">
        <f t="shared" si="452"/>
        <v>1.3125E-2</v>
      </c>
      <c r="J1774" s="32">
        <f t="shared" si="441"/>
        <v>0.19468750000000001</v>
      </c>
      <c r="K1774" s="33">
        <f t="shared" si="444"/>
        <v>2.9203125E-2</v>
      </c>
      <c r="L1774" s="52"/>
      <c r="O1774" s="2">
        <f t="shared" si="446"/>
        <v>3.6458333333333336E-2</v>
      </c>
      <c r="P1774" s="2">
        <f t="shared" si="447"/>
        <v>26.25</v>
      </c>
      <c r="Q1774" s="7">
        <f t="shared" si="448"/>
        <v>118.88586956521739</v>
      </c>
      <c r="R1774" s="2">
        <v>1.2</v>
      </c>
      <c r="S1774" s="2">
        <f t="shared" si="442"/>
        <v>4.45</v>
      </c>
      <c r="T1774" s="2"/>
      <c r="U1774" s="2"/>
      <c r="Y1774" s="8">
        <f t="shared" si="443"/>
        <v>4.2323369565217392</v>
      </c>
    </row>
    <row r="1775" spans="1:25" x14ac:dyDescent="0.25">
      <c r="A1775" s="34">
        <f t="shared" si="453"/>
        <v>1767</v>
      </c>
      <c r="B1775" s="35" t="e">
        <f t="shared" si="453"/>
        <v>#REF!</v>
      </c>
      <c r="C1775" s="42" t="s">
        <v>401</v>
      </c>
      <c r="D1775" s="43">
        <v>93</v>
      </c>
      <c r="E1775" s="43">
        <v>2</v>
      </c>
      <c r="F1775" s="36">
        <v>0.254</v>
      </c>
      <c r="G1775" s="36">
        <v>5.0099999999999999E-2</v>
      </c>
      <c r="H1775" s="36">
        <v>8.7499999999999994E-2</v>
      </c>
      <c r="I1775" s="37">
        <f t="shared" si="452"/>
        <v>1.3125E-2</v>
      </c>
      <c r="J1775" s="32">
        <f t="shared" si="441"/>
        <v>0.19468750000000001</v>
      </c>
      <c r="K1775" s="33">
        <f t="shared" si="444"/>
        <v>2.9203125E-2</v>
      </c>
      <c r="L1775" s="52"/>
      <c r="O1775" s="2">
        <f t="shared" si="446"/>
        <v>3.6458333333333336E-2</v>
      </c>
      <c r="P1775" s="2">
        <f t="shared" si="447"/>
        <v>26.25</v>
      </c>
      <c r="Q1775" s="7">
        <f t="shared" si="448"/>
        <v>118.88586956521739</v>
      </c>
      <c r="R1775" s="2">
        <v>1.2</v>
      </c>
      <c r="S1775" s="2">
        <f t="shared" si="442"/>
        <v>4.45</v>
      </c>
      <c r="T1775" s="2"/>
      <c r="U1775" s="2"/>
      <c r="Y1775" s="8">
        <f t="shared" si="443"/>
        <v>4.2323369565217392</v>
      </c>
    </row>
    <row r="1776" spans="1:25" x14ac:dyDescent="0.25">
      <c r="A1776" s="34">
        <f t="shared" si="453"/>
        <v>1768</v>
      </c>
      <c r="B1776" s="35" t="e">
        <f t="shared" si="453"/>
        <v>#REF!</v>
      </c>
      <c r="C1776" s="42" t="s">
        <v>401</v>
      </c>
      <c r="D1776" s="43">
        <v>96</v>
      </c>
      <c r="E1776" s="43"/>
      <c r="F1776" s="36">
        <v>0.125</v>
      </c>
      <c r="G1776" s="36">
        <f t="shared" ref="G1776:G1783" si="454">F1776*0.197</f>
        <v>2.4625000000000001E-2</v>
      </c>
      <c r="H1776" s="36">
        <v>1.2999999999999999E-2</v>
      </c>
      <c r="I1776" s="37">
        <f t="shared" si="452"/>
        <v>1.9499999999999999E-3</v>
      </c>
      <c r="J1776" s="32">
        <f t="shared" si="441"/>
        <v>2.8924999999999999E-2</v>
      </c>
      <c r="K1776" s="33">
        <f t="shared" si="444"/>
        <v>4.3387499999999997E-3</v>
      </c>
      <c r="L1776" s="24" t="s">
        <v>16</v>
      </c>
      <c r="O1776" s="2">
        <f t="shared" si="446"/>
        <v>5.4166666666666669E-3</v>
      </c>
      <c r="P1776" s="2">
        <f t="shared" si="447"/>
        <v>3.9000000000000004</v>
      </c>
      <c r="Q1776" s="7">
        <f t="shared" si="448"/>
        <v>17.663043478260871</v>
      </c>
      <c r="R1776" s="2">
        <v>1.2</v>
      </c>
      <c r="S1776" s="2">
        <f t="shared" si="442"/>
        <v>4.45</v>
      </c>
      <c r="T1776" s="2"/>
      <c r="U1776" s="2"/>
      <c r="Y1776" s="8">
        <f t="shared" si="443"/>
        <v>0.62880434782608685</v>
      </c>
    </row>
    <row r="1777" spans="1:25" x14ac:dyDescent="0.25">
      <c r="A1777" s="34">
        <f t="shared" si="453"/>
        <v>1769</v>
      </c>
      <c r="B1777" s="35" t="e">
        <f t="shared" si="453"/>
        <v>#REF!</v>
      </c>
      <c r="C1777" s="42" t="s">
        <v>401</v>
      </c>
      <c r="D1777" s="43">
        <v>98</v>
      </c>
      <c r="E1777" s="43"/>
      <c r="F1777" s="36">
        <v>0.125</v>
      </c>
      <c r="G1777" s="36">
        <f t="shared" si="454"/>
        <v>2.4625000000000001E-2</v>
      </c>
      <c r="H1777" s="36">
        <v>1.6E-2</v>
      </c>
      <c r="I1777" s="37">
        <f t="shared" si="452"/>
        <v>2.3999999999999998E-3</v>
      </c>
      <c r="J1777" s="32">
        <f t="shared" si="441"/>
        <v>3.56E-2</v>
      </c>
      <c r="K1777" s="33">
        <f t="shared" si="444"/>
        <v>5.3400000000000001E-3</v>
      </c>
      <c r="L1777" s="24" t="s">
        <v>16</v>
      </c>
      <c r="O1777" s="2">
        <f t="shared" si="446"/>
        <v>6.6666666666666671E-3</v>
      </c>
      <c r="P1777" s="2">
        <f t="shared" si="447"/>
        <v>4.8</v>
      </c>
      <c r="Q1777" s="7">
        <f t="shared" si="448"/>
        <v>21.739130434782609</v>
      </c>
      <c r="R1777" s="2">
        <v>1.2</v>
      </c>
      <c r="S1777" s="2">
        <f t="shared" si="442"/>
        <v>4.45</v>
      </c>
      <c r="T1777" s="2"/>
      <c r="U1777" s="2"/>
      <c r="Y1777" s="8">
        <f t="shared" si="443"/>
        <v>0.77391304347826095</v>
      </c>
    </row>
    <row r="1778" spans="1:25" x14ac:dyDescent="0.25">
      <c r="A1778" s="34">
        <f t="shared" si="453"/>
        <v>1770</v>
      </c>
      <c r="B1778" s="35" t="e">
        <f t="shared" si="453"/>
        <v>#REF!</v>
      </c>
      <c r="C1778" s="42" t="s">
        <v>401</v>
      </c>
      <c r="D1778" s="43">
        <v>126</v>
      </c>
      <c r="E1778" s="43"/>
      <c r="F1778" s="36">
        <v>0.14699999999999999</v>
      </c>
      <c r="G1778" s="36">
        <f t="shared" si="454"/>
        <v>2.8958999999999999E-2</v>
      </c>
      <c r="H1778" s="36">
        <v>8.3000000000000004E-2</v>
      </c>
      <c r="I1778" s="37">
        <f t="shared" si="452"/>
        <v>1.2450000000000001E-2</v>
      </c>
      <c r="J1778" s="32">
        <f t="shared" si="441"/>
        <v>0.18467500000000001</v>
      </c>
      <c r="K1778" s="33">
        <f t="shared" si="444"/>
        <v>2.770125E-2</v>
      </c>
      <c r="L1778" s="52"/>
      <c r="O1778" s="2">
        <f t="shared" si="446"/>
        <v>3.4583333333333334E-2</v>
      </c>
      <c r="P1778" s="2">
        <f t="shared" si="447"/>
        <v>24.900000000000002</v>
      </c>
      <c r="Q1778" s="7">
        <f t="shared" si="448"/>
        <v>112.7717391304348</v>
      </c>
      <c r="R1778" s="2">
        <v>1.2</v>
      </c>
      <c r="S1778" s="2">
        <f t="shared" si="442"/>
        <v>4.45</v>
      </c>
      <c r="T1778" s="2"/>
      <c r="U1778" s="2"/>
      <c r="Y1778" s="8">
        <f t="shared" si="443"/>
        <v>4.0146739130434783</v>
      </c>
    </row>
    <row r="1779" spans="1:25" x14ac:dyDescent="0.25">
      <c r="A1779" s="34">
        <f t="shared" si="453"/>
        <v>1771</v>
      </c>
      <c r="B1779" s="35" t="e">
        <f t="shared" si="453"/>
        <v>#REF!</v>
      </c>
      <c r="C1779" s="42" t="s">
        <v>401</v>
      </c>
      <c r="D1779" s="43">
        <v>163</v>
      </c>
      <c r="E1779" s="43"/>
      <c r="F1779" s="36">
        <v>3.3000000000000002E-2</v>
      </c>
      <c r="G1779" s="36">
        <f t="shared" si="454"/>
        <v>6.5010000000000007E-3</v>
      </c>
      <c r="H1779" s="36">
        <v>7.0000000000000001E-3</v>
      </c>
      <c r="I1779" s="37">
        <f t="shared" si="452"/>
        <v>1.0499999999999999E-3</v>
      </c>
      <c r="J1779" s="32">
        <f t="shared" si="441"/>
        <v>1.5575E-2</v>
      </c>
      <c r="K1779" s="33">
        <f t="shared" si="444"/>
        <v>2.3362499999999998E-3</v>
      </c>
      <c r="L1779" s="52"/>
      <c r="O1779" s="2">
        <f t="shared" si="446"/>
        <v>2.9166666666666668E-3</v>
      </c>
      <c r="P1779" s="2">
        <f t="shared" si="447"/>
        <v>2.1</v>
      </c>
      <c r="Q1779" s="7">
        <f t="shared" si="448"/>
        <v>9.5108695652173925</v>
      </c>
      <c r="R1779" s="2">
        <v>1.2</v>
      </c>
      <c r="S1779" s="2">
        <f t="shared" si="442"/>
        <v>4.45</v>
      </c>
      <c r="T1779" s="2"/>
      <c r="U1779" s="2"/>
      <c r="Y1779" s="8">
        <f t="shared" si="443"/>
        <v>0.33858695652173915</v>
      </c>
    </row>
    <row r="1780" spans="1:25" x14ac:dyDescent="0.25">
      <c r="A1780" s="34">
        <f t="shared" si="453"/>
        <v>1772</v>
      </c>
      <c r="B1780" s="35" t="e">
        <f t="shared" si="453"/>
        <v>#REF!</v>
      </c>
      <c r="C1780" s="42" t="s">
        <v>401</v>
      </c>
      <c r="D1780" s="43">
        <v>167</v>
      </c>
      <c r="E1780" s="43"/>
      <c r="F1780" s="36">
        <v>3.4000000000000002E-2</v>
      </c>
      <c r="G1780" s="36">
        <f t="shared" si="454"/>
        <v>6.6980000000000008E-3</v>
      </c>
      <c r="H1780" s="36">
        <v>5.0000000000000001E-3</v>
      </c>
      <c r="I1780" s="37">
        <f t="shared" si="452"/>
        <v>7.5000000000000002E-4</v>
      </c>
      <c r="J1780" s="32">
        <f t="shared" si="441"/>
        <v>1.1125000000000001E-2</v>
      </c>
      <c r="K1780" s="33">
        <f t="shared" si="444"/>
        <v>1.6687500000000001E-3</v>
      </c>
      <c r="L1780" s="52"/>
      <c r="O1780" s="2">
        <f t="shared" si="446"/>
        <v>2.0833333333333333E-3</v>
      </c>
      <c r="P1780" s="2">
        <f t="shared" si="447"/>
        <v>1.5</v>
      </c>
      <c r="Q1780" s="7">
        <f t="shared" si="448"/>
        <v>6.7934782608695654</v>
      </c>
      <c r="R1780" s="2">
        <v>1.2</v>
      </c>
      <c r="S1780" s="2">
        <f t="shared" si="442"/>
        <v>4.45</v>
      </c>
      <c r="T1780" s="2"/>
      <c r="U1780" s="2"/>
      <c r="Y1780" s="8">
        <f t="shared" si="443"/>
        <v>0.24184782608695654</v>
      </c>
    </row>
    <row r="1781" spans="1:25" ht="30" x14ac:dyDescent="0.25">
      <c r="A1781" s="34">
        <f t="shared" si="453"/>
        <v>1773</v>
      </c>
      <c r="B1781" s="35" t="e">
        <f t="shared" si="453"/>
        <v>#REF!</v>
      </c>
      <c r="C1781" s="42" t="s">
        <v>401</v>
      </c>
      <c r="D1781" s="43" t="s">
        <v>439</v>
      </c>
      <c r="E1781" s="43"/>
      <c r="F1781" s="36">
        <v>0.125</v>
      </c>
      <c r="G1781" s="36">
        <f t="shared" si="454"/>
        <v>2.4625000000000001E-2</v>
      </c>
      <c r="H1781" s="36">
        <v>4.7E-2</v>
      </c>
      <c r="I1781" s="37">
        <f t="shared" si="452"/>
        <v>7.0499999999999998E-3</v>
      </c>
      <c r="J1781" s="32">
        <f t="shared" si="441"/>
        <v>0.104575</v>
      </c>
      <c r="K1781" s="33">
        <f t="shared" si="444"/>
        <v>1.5686249999999999E-2</v>
      </c>
      <c r="L1781" s="52"/>
      <c r="O1781" s="2">
        <f t="shared" si="446"/>
        <v>1.9583333333333335E-2</v>
      </c>
      <c r="P1781" s="2">
        <f t="shared" si="447"/>
        <v>14.100000000000001</v>
      </c>
      <c r="Q1781" s="7">
        <f t="shared" si="448"/>
        <v>63.858695652173921</v>
      </c>
      <c r="R1781" s="2">
        <v>1.2</v>
      </c>
      <c r="S1781" s="2">
        <f t="shared" si="442"/>
        <v>4.45</v>
      </c>
      <c r="T1781" s="2"/>
      <c r="U1781" s="2"/>
      <c r="Y1781" s="8">
        <f t="shared" si="443"/>
        <v>2.2733695652173913</v>
      </c>
    </row>
    <row r="1782" spans="1:25" ht="30" x14ac:dyDescent="0.25">
      <c r="A1782" s="34">
        <f t="shared" si="453"/>
        <v>1774</v>
      </c>
      <c r="B1782" s="35" t="e">
        <f t="shared" si="453"/>
        <v>#REF!</v>
      </c>
      <c r="C1782" s="42" t="s">
        <v>401</v>
      </c>
      <c r="D1782" s="43" t="s">
        <v>440</v>
      </c>
      <c r="E1782" s="43"/>
      <c r="F1782" s="36">
        <v>0.12</v>
      </c>
      <c r="G1782" s="36">
        <f t="shared" si="454"/>
        <v>2.3640000000000001E-2</v>
      </c>
      <c r="H1782" s="36">
        <v>3.3000000000000002E-2</v>
      </c>
      <c r="I1782" s="37">
        <f t="shared" si="452"/>
        <v>4.9500000000000004E-3</v>
      </c>
      <c r="J1782" s="32">
        <f t="shared" si="441"/>
        <v>7.3425000000000004E-2</v>
      </c>
      <c r="K1782" s="33">
        <f t="shared" si="444"/>
        <v>1.1013750000000001E-2</v>
      </c>
      <c r="L1782" s="52"/>
      <c r="O1782" s="2">
        <f t="shared" si="446"/>
        <v>1.3750000000000002E-2</v>
      </c>
      <c r="P1782" s="2">
        <f t="shared" si="447"/>
        <v>9.9000000000000021</v>
      </c>
      <c r="Q1782" s="7">
        <f t="shared" si="448"/>
        <v>44.83695652173914</v>
      </c>
      <c r="R1782" s="2">
        <v>1.2</v>
      </c>
      <c r="S1782" s="2">
        <f t="shared" si="442"/>
        <v>4.45</v>
      </c>
      <c r="T1782" s="2"/>
      <c r="U1782" s="2"/>
      <c r="Y1782" s="8">
        <f t="shared" si="443"/>
        <v>1.5961956521739131</v>
      </c>
    </row>
    <row r="1783" spans="1:25" ht="30" x14ac:dyDescent="0.25">
      <c r="A1783" s="34">
        <f t="shared" si="453"/>
        <v>1775</v>
      </c>
      <c r="B1783" s="35" t="e">
        <f t="shared" si="453"/>
        <v>#REF!</v>
      </c>
      <c r="C1783" s="42" t="s">
        <v>401</v>
      </c>
      <c r="D1783" s="43" t="s">
        <v>441</v>
      </c>
      <c r="E1783" s="43"/>
      <c r="F1783" s="36">
        <v>0.105</v>
      </c>
      <c r="G1783" s="36">
        <f t="shared" si="454"/>
        <v>2.0684999999999999E-2</v>
      </c>
      <c r="H1783" s="36">
        <v>3.1E-2</v>
      </c>
      <c r="I1783" s="37">
        <f t="shared" si="452"/>
        <v>4.6499999999999996E-3</v>
      </c>
      <c r="J1783" s="32">
        <f t="shared" si="441"/>
        <v>6.8975000000000009E-2</v>
      </c>
      <c r="K1783" s="33">
        <f t="shared" si="444"/>
        <v>1.0346250000000001E-2</v>
      </c>
      <c r="L1783" s="52"/>
      <c r="O1783" s="2">
        <f t="shared" si="446"/>
        <v>1.2916666666666667E-2</v>
      </c>
      <c r="P1783" s="2">
        <f t="shared" si="447"/>
        <v>9.3000000000000007</v>
      </c>
      <c r="Q1783" s="7">
        <f t="shared" si="448"/>
        <v>42.119565217391312</v>
      </c>
      <c r="R1783" s="2">
        <v>1.2</v>
      </c>
      <c r="S1783" s="2">
        <f t="shared" si="442"/>
        <v>4.45</v>
      </c>
      <c r="T1783" s="2"/>
      <c r="U1783" s="2"/>
      <c r="Y1783" s="8">
        <f t="shared" si="443"/>
        <v>1.4994565217391305</v>
      </c>
    </row>
    <row r="1784" spans="1:25" x14ac:dyDescent="0.25">
      <c r="A1784" s="34">
        <f t="shared" si="453"/>
        <v>1776</v>
      </c>
      <c r="B1784" s="35" t="e">
        <f t="shared" si="453"/>
        <v>#REF!</v>
      </c>
      <c r="C1784" s="42" t="s">
        <v>401</v>
      </c>
      <c r="D1784" s="43" t="s">
        <v>442</v>
      </c>
      <c r="E1784" s="43"/>
      <c r="F1784" s="36">
        <f t="shared" ref="F1784:I1785" ca="1" si="455">SUM(F1784:F1784)</f>
        <v>0.10299999999999999</v>
      </c>
      <c r="G1784" s="36">
        <f t="shared" ca="1" si="455"/>
        <v>2.0291E-2</v>
      </c>
      <c r="H1784" s="36">
        <v>1.9599999999999999E-2</v>
      </c>
      <c r="I1784" s="37">
        <f t="shared" ca="1" si="455"/>
        <v>2.9399999999999995E-3</v>
      </c>
      <c r="J1784" s="32">
        <f t="shared" si="441"/>
        <v>4.361000000000001E-2</v>
      </c>
      <c r="K1784" s="33">
        <f t="shared" si="444"/>
        <v>6.5415000000000013E-3</v>
      </c>
      <c r="L1784" s="52"/>
      <c r="O1784" s="2">
        <f t="shared" si="446"/>
        <v>8.1666666666666676E-3</v>
      </c>
      <c r="P1784" s="2">
        <f t="shared" si="447"/>
        <v>5.88</v>
      </c>
      <c r="Q1784" s="7">
        <f t="shared" si="448"/>
        <v>26.630434782608695</v>
      </c>
      <c r="R1784" s="2">
        <v>1.2</v>
      </c>
      <c r="S1784" s="2">
        <f t="shared" si="442"/>
        <v>4.45</v>
      </c>
      <c r="T1784" s="2"/>
      <c r="U1784" s="2"/>
      <c r="Y1784" s="8">
        <f t="shared" si="443"/>
        <v>0.94804347826086977</v>
      </c>
    </row>
    <row r="1785" spans="1:25" x14ac:dyDescent="0.25">
      <c r="A1785" s="34">
        <f t="shared" si="453"/>
        <v>1777</v>
      </c>
      <c r="B1785" s="35" t="e">
        <f t="shared" si="453"/>
        <v>#REF!</v>
      </c>
      <c r="C1785" s="42" t="s">
        <v>443</v>
      </c>
      <c r="D1785" s="43">
        <v>69</v>
      </c>
      <c r="E1785" s="43"/>
      <c r="F1785" s="36">
        <f t="shared" ca="1" si="455"/>
        <v>9.9999999999999992E-2</v>
      </c>
      <c r="G1785" s="36">
        <f t="shared" ca="1" si="455"/>
        <v>1.9699999999999999E-2</v>
      </c>
      <c r="H1785" s="36">
        <v>6.4000000000000001E-2</v>
      </c>
      <c r="I1785" s="37">
        <f t="shared" ca="1" si="455"/>
        <v>9.6000000000000009E-3</v>
      </c>
      <c r="J1785" s="32">
        <f t="shared" si="441"/>
        <v>0.1424</v>
      </c>
      <c r="K1785" s="33">
        <f t="shared" si="444"/>
        <v>2.1360000000000001E-2</v>
      </c>
      <c r="L1785" s="24" t="s">
        <v>16</v>
      </c>
      <c r="O1785" s="2">
        <f t="shared" si="446"/>
        <v>2.6666666666666668E-2</v>
      </c>
      <c r="P1785" s="2">
        <f t="shared" si="447"/>
        <v>19.2</v>
      </c>
      <c r="Q1785" s="7">
        <f t="shared" si="448"/>
        <v>86.956521739130437</v>
      </c>
      <c r="R1785" s="2">
        <v>1.2</v>
      </c>
      <c r="S1785" s="2">
        <f t="shared" si="442"/>
        <v>4.45</v>
      </c>
      <c r="T1785" s="2"/>
      <c r="U1785" s="2"/>
      <c r="Y1785" s="8">
        <f t="shared" si="443"/>
        <v>3.0956521739130438</v>
      </c>
    </row>
    <row r="1786" spans="1:25" x14ac:dyDescent="0.25">
      <c r="A1786" s="34">
        <f t="shared" si="453"/>
        <v>1778</v>
      </c>
      <c r="B1786" s="35" t="e">
        <f t="shared" si="453"/>
        <v>#REF!</v>
      </c>
      <c r="C1786" s="42" t="s">
        <v>444</v>
      </c>
      <c r="D1786" s="43">
        <v>62</v>
      </c>
      <c r="E1786" s="43"/>
      <c r="F1786" s="36">
        <v>0.104</v>
      </c>
      <c r="G1786" s="36">
        <f>F1786*0.197</f>
        <v>2.0487999999999999E-2</v>
      </c>
      <c r="H1786" s="36">
        <v>5.5E-2</v>
      </c>
      <c r="I1786" s="37">
        <f>H1786*0.15</f>
        <v>8.2500000000000004E-3</v>
      </c>
      <c r="J1786" s="32">
        <f t="shared" si="441"/>
        <v>0.12237500000000001</v>
      </c>
      <c r="K1786" s="33">
        <f t="shared" si="444"/>
        <v>1.8356250000000001E-2</v>
      </c>
      <c r="L1786" s="52"/>
      <c r="O1786" s="2">
        <f t="shared" si="446"/>
        <v>2.2916666666666669E-2</v>
      </c>
      <c r="P1786" s="2">
        <f t="shared" si="447"/>
        <v>16.5</v>
      </c>
      <c r="Q1786" s="7">
        <f t="shared" si="448"/>
        <v>74.728260869565219</v>
      </c>
      <c r="R1786" s="2">
        <v>1.2</v>
      </c>
      <c r="S1786" s="2">
        <f t="shared" si="442"/>
        <v>4.45</v>
      </c>
      <c r="T1786" s="2"/>
      <c r="U1786" s="2"/>
      <c r="Y1786" s="8">
        <f t="shared" si="443"/>
        <v>2.660326086956522</v>
      </c>
    </row>
    <row r="1787" spans="1:25" x14ac:dyDescent="0.25">
      <c r="A1787" s="34">
        <f t="shared" ref="A1787:B1802" si="456">A1786+1</f>
        <v>1779</v>
      </c>
      <c r="B1787" s="35" t="e">
        <f t="shared" si="456"/>
        <v>#REF!</v>
      </c>
      <c r="C1787" s="42" t="s">
        <v>444</v>
      </c>
      <c r="D1787" s="43">
        <v>64</v>
      </c>
      <c r="E1787" s="43"/>
      <c r="F1787" s="36">
        <v>0.114</v>
      </c>
      <c r="G1787" s="36">
        <f>F1787*0.197</f>
        <v>2.2458000000000002E-2</v>
      </c>
      <c r="H1787" s="36">
        <v>4.5999999999999999E-2</v>
      </c>
      <c r="I1787" s="37">
        <f>H1787*0.15</f>
        <v>6.8999999999999999E-3</v>
      </c>
      <c r="J1787" s="32">
        <f t="shared" si="441"/>
        <v>0.10235000000000002</v>
      </c>
      <c r="K1787" s="33">
        <f t="shared" si="444"/>
        <v>1.5352500000000003E-2</v>
      </c>
      <c r="L1787" s="24" t="s">
        <v>16</v>
      </c>
      <c r="O1787" s="2">
        <f t="shared" si="446"/>
        <v>1.9166666666666669E-2</v>
      </c>
      <c r="P1787" s="2">
        <f t="shared" si="447"/>
        <v>13.800000000000002</v>
      </c>
      <c r="Q1787" s="7">
        <f t="shared" si="448"/>
        <v>62.500000000000014</v>
      </c>
      <c r="R1787" s="2">
        <v>1.2</v>
      </c>
      <c r="S1787" s="2">
        <f t="shared" si="442"/>
        <v>4.45</v>
      </c>
      <c r="T1787" s="2"/>
      <c r="U1787" s="2"/>
      <c r="Y1787" s="8">
        <f t="shared" si="443"/>
        <v>2.2250000000000005</v>
      </c>
    </row>
    <row r="1788" spans="1:25" x14ac:dyDescent="0.25">
      <c r="A1788" s="34">
        <f t="shared" si="456"/>
        <v>1780</v>
      </c>
      <c r="B1788" s="35" t="e">
        <f t="shared" si="456"/>
        <v>#REF!</v>
      </c>
      <c r="C1788" s="42" t="s">
        <v>444</v>
      </c>
      <c r="D1788" s="43" t="s">
        <v>445</v>
      </c>
      <c r="E1788" s="43"/>
      <c r="F1788" s="36">
        <f ca="1">SUM(F1788:F1788)</f>
        <v>0.221</v>
      </c>
      <c r="G1788" s="36">
        <f ca="1">SUM(G1788:G1788)</f>
        <v>4.3536999999999999E-2</v>
      </c>
      <c r="H1788" s="36">
        <v>6.9199999999999998E-2</v>
      </c>
      <c r="I1788" s="37">
        <f ca="1">SUM(I1788:I1788)</f>
        <v>1.038E-2</v>
      </c>
      <c r="J1788" s="32">
        <f t="shared" si="441"/>
        <v>0.15397</v>
      </c>
      <c r="K1788" s="33">
        <f t="shared" si="444"/>
        <v>2.3095499999999998E-2</v>
      </c>
      <c r="L1788" s="52"/>
      <c r="O1788" s="2">
        <f t="shared" si="446"/>
        <v>2.8833333333333332E-2</v>
      </c>
      <c r="P1788" s="2">
        <f t="shared" si="447"/>
        <v>20.759999999999998</v>
      </c>
      <c r="Q1788" s="7">
        <f t="shared" si="448"/>
        <v>94.021739130434781</v>
      </c>
      <c r="R1788" s="2">
        <v>1.2</v>
      </c>
      <c r="S1788" s="2">
        <f t="shared" si="442"/>
        <v>4.45</v>
      </c>
      <c r="T1788" s="2"/>
      <c r="U1788" s="2"/>
      <c r="Y1788" s="8">
        <f t="shared" si="443"/>
        <v>3.3471739130434783</v>
      </c>
    </row>
    <row r="1789" spans="1:25" x14ac:dyDescent="0.25">
      <c r="A1789" s="34">
        <f t="shared" si="456"/>
        <v>1781</v>
      </c>
      <c r="B1789" s="35" t="e">
        <f>#REF!+1</f>
        <v>#REF!</v>
      </c>
      <c r="C1789" s="42" t="s">
        <v>444</v>
      </c>
      <c r="D1789" s="43">
        <v>96</v>
      </c>
      <c r="E1789" s="43"/>
      <c r="F1789" s="36">
        <v>7.4999999999999997E-2</v>
      </c>
      <c r="G1789" s="36">
        <f t="shared" ref="G1789:G1794" si="457">F1789*0.197</f>
        <v>1.4775E-2</v>
      </c>
      <c r="H1789" s="36">
        <v>1.6E-2</v>
      </c>
      <c r="I1789" s="37">
        <f t="shared" ref="I1789:I1794" si="458">H1789*0.15</f>
        <v>2.3999999999999998E-3</v>
      </c>
      <c r="J1789" s="32">
        <f t="shared" si="441"/>
        <v>3.56E-2</v>
      </c>
      <c r="K1789" s="33">
        <f t="shared" si="444"/>
        <v>5.3400000000000001E-3</v>
      </c>
      <c r="L1789" s="52"/>
      <c r="O1789" s="2">
        <f t="shared" si="446"/>
        <v>6.6666666666666671E-3</v>
      </c>
      <c r="P1789" s="2">
        <f t="shared" si="447"/>
        <v>4.8</v>
      </c>
      <c r="Q1789" s="7">
        <f t="shared" si="448"/>
        <v>21.739130434782609</v>
      </c>
      <c r="R1789" s="2">
        <v>1.2</v>
      </c>
      <c r="S1789" s="2">
        <f t="shared" si="442"/>
        <v>4.45</v>
      </c>
      <c r="T1789" s="2"/>
      <c r="U1789" s="2"/>
      <c r="Y1789" s="8">
        <f t="shared" si="443"/>
        <v>0.77391304347826095</v>
      </c>
    </row>
    <row r="1790" spans="1:25" x14ac:dyDescent="0.25">
      <c r="A1790" s="34">
        <f t="shared" si="456"/>
        <v>1782</v>
      </c>
      <c r="B1790" s="35" t="e">
        <f t="shared" si="456"/>
        <v>#REF!</v>
      </c>
      <c r="C1790" s="42" t="s">
        <v>444</v>
      </c>
      <c r="D1790" s="43">
        <v>104</v>
      </c>
      <c r="E1790" s="43"/>
      <c r="F1790" s="36">
        <v>0.4</v>
      </c>
      <c r="G1790" s="36">
        <f t="shared" si="457"/>
        <v>7.8800000000000009E-2</v>
      </c>
      <c r="H1790" s="36">
        <v>0.11</v>
      </c>
      <c r="I1790" s="37">
        <f t="shared" si="458"/>
        <v>1.6500000000000001E-2</v>
      </c>
      <c r="J1790" s="32">
        <f t="shared" si="441"/>
        <v>0.24475000000000002</v>
      </c>
      <c r="K1790" s="33">
        <f t="shared" si="444"/>
        <v>3.6712500000000002E-2</v>
      </c>
      <c r="L1790" s="52"/>
      <c r="O1790" s="2">
        <f t="shared" si="446"/>
        <v>4.5833333333333337E-2</v>
      </c>
      <c r="P1790" s="2">
        <f t="shared" si="447"/>
        <v>33</v>
      </c>
      <c r="Q1790" s="7">
        <f t="shared" si="448"/>
        <v>149.45652173913044</v>
      </c>
      <c r="R1790" s="2">
        <v>1.2</v>
      </c>
      <c r="S1790" s="2">
        <f t="shared" si="442"/>
        <v>4.45</v>
      </c>
      <c r="T1790" s="2"/>
      <c r="U1790" s="2"/>
      <c r="Y1790" s="8">
        <f t="shared" si="443"/>
        <v>5.3206521739130439</v>
      </c>
    </row>
    <row r="1791" spans="1:25" x14ac:dyDescent="0.25">
      <c r="A1791" s="34">
        <f t="shared" si="456"/>
        <v>1783</v>
      </c>
      <c r="B1791" s="35" t="e">
        <f t="shared" si="456"/>
        <v>#REF!</v>
      </c>
      <c r="C1791" s="42" t="s">
        <v>444</v>
      </c>
      <c r="D1791" s="43">
        <v>171</v>
      </c>
      <c r="E1791" s="43">
        <v>1</v>
      </c>
      <c r="F1791" s="36">
        <v>9.0999999999999998E-2</v>
      </c>
      <c r="G1791" s="36">
        <v>1.7926999999999998E-2</v>
      </c>
      <c r="H1791" s="36">
        <v>4.4999999999999998E-2</v>
      </c>
      <c r="I1791" s="37">
        <v>6.7499999999999999E-3</v>
      </c>
      <c r="J1791" s="32">
        <f t="shared" si="441"/>
        <v>0.10012500000000001</v>
      </c>
      <c r="K1791" s="33">
        <f t="shared" si="444"/>
        <v>1.5018750000000001E-2</v>
      </c>
      <c r="L1791" s="52"/>
      <c r="O1791" s="2">
        <f t="shared" si="446"/>
        <v>1.8749999999999999E-2</v>
      </c>
      <c r="P1791" s="2">
        <f t="shared" si="447"/>
        <v>13.499999999999998</v>
      </c>
      <c r="Q1791" s="7">
        <f t="shared" si="448"/>
        <v>61.141304347826079</v>
      </c>
      <c r="R1791" s="2">
        <v>1.2</v>
      </c>
      <c r="S1791" s="2">
        <f t="shared" si="442"/>
        <v>4.45</v>
      </c>
      <c r="T1791" s="2"/>
      <c r="U1791" s="2"/>
      <c r="Y1791" s="8">
        <f t="shared" si="443"/>
        <v>2.1766304347826089</v>
      </c>
    </row>
    <row r="1792" spans="1:25" x14ac:dyDescent="0.25">
      <c r="A1792" s="34">
        <f t="shared" si="456"/>
        <v>1784</v>
      </c>
      <c r="B1792" s="35" t="e">
        <f t="shared" si="456"/>
        <v>#REF!</v>
      </c>
      <c r="C1792" s="42" t="s">
        <v>444</v>
      </c>
      <c r="D1792" s="43">
        <v>171</v>
      </c>
      <c r="E1792" s="43">
        <v>2</v>
      </c>
      <c r="F1792" s="36">
        <v>9.0999999999999998E-2</v>
      </c>
      <c r="G1792" s="36">
        <v>1.7926999999999998E-2</v>
      </c>
      <c r="H1792" s="36"/>
      <c r="I1792" s="37">
        <f>H1792*0.15</f>
        <v>0</v>
      </c>
      <c r="J1792" s="32">
        <f t="shared" si="441"/>
        <v>0</v>
      </c>
      <c r="K1792" s="33">
        <f t="shared" si="444"/>
        <v>0</v>
      </c>
      <c r="L1792" s="52"/>
      <c r="O1792" s="2">
        <f t="shared" si="446"/>
        <v>0</v>
      </c>
      <c r="P1792" s="2">
        <f t="shared" si="447"/>
        <v>0</v>
      </c>
      <c r="Q1792" s="7">
        <f t="shared" si="448"/>
        <v>0</v>
      </c>
      <c r="R1792" s="2">
        <v>1.2</v>
      </c>
      <c r="S1792" s="2">
        <f t="shared" si="442"/>
        <v>4.45</v>
      </c>
      <c r="T1792" s="2"/>
      <c r="U1792" s="2"/>
      <c r="Y1792" s="8">
        <f t="shared" si="443"/>
        <v>0</v>
      </c>
    </row>
    <row r="1793" spans="1:25" x14ac:dyDescent="0.25">
      <c r="A1793" s="34">
        <f t="shared" si="456"/>
        <v>1785</v>
      </c>
      <c r="B1793" s="35" t="e">
        <f t="shared" si="456"/>
        <v>#REF!</v>
      </c>
      <c r="C1793" s="42" t="s">
        <v>444</v>
      </c>
      <c r="D1793" s="43">
        <v>173</v>
      </c>
      <c r="E1793" s="43"/>
      <c r="F1793" s="36">
        <v>0.13400000000000001</v>
      </c>
      <c r="G1793" s="36">
        <f t="shared" si="457"/>
        <v>2.6398000000000001E-2</v>
      </c>
      <c r="H1793" s="36">
        <v>4.8000000000000001E-2</v>
      </c>
      <c r="I1793" s="37">
        <f t="shared" si="458"/>
        <v>7.1999999999999998E-3</v>
      </c>
      <c r="J1793" s="32">
        <f t="shared" si="441"/>
        <v>0.10680000000000001</v>
      </c>
      <c r="K1793" s="33">
        <f t="shared" si="444"/>
        <v>1.602E-2</v>
      </c>
      <c r="L1793" s="52"/>
      <c r="O1793" s="2">
        <f t="shared" si="446"/>
        <v>0.02</v>
      </c>
      <c r="P1793" s="2">
        <f t="shared" si="447"/>
        <v>14.399999999999999</v>
      </c>
      <c r="Q1793" s="7">
        <f t="shared" si="448"/>
        <v>65.217391304347814</v>
      </c>
      <c r="R1793" s="2">
        <v>1.2</v>
      </c>
      <c r="S1793" s="2">
        <f t="shared" si="442"/>
        <v>4.45</v>
      </c>
      <c r="T1793" s="2"/>
      <c r="U1793" s="2"/>
      <c r="Y1793" s="8">
        <f t="shared" si="443"/>
        <v>2.321739130434783</v>
      </c>
    </row>
    <row r="1794" spans="1:25" x14ac:dyDescent="0.25">
      <c r="A1794" s="34">
        <f t="shared" si="456"/>
        <v>1786</v>
      </c>
      <c r="B1794" s="35" t="e">
        <f t="shared" si="456"/>
        <v>#REF!</v>
      </c>
      <c r="C1794" s="42" t="s">
        <v>444</v>
      </c>
      <c r="D1794" s="43">
        <v>189</v>
      </c>
      <c r="E1794" s="43"/>
      <c r="F1794" s="36">
        <v>0.16600000000000001</v>
      </c>
      <c r="G1794" s="36">
        <f t="shared" si="457"/>
        <v>3.2702000000000002E-2</v>
      </c>
      <c r="H1794" s="36">
        <v>6.8000000000000005E-2</v>
      </c>
      <c r="I1794" s="37">
        <f t="shared" si="458"/>
        <v>1.0200000000000001E-2</v>
      </c>
      <c r="J1794" s="32">
        <f t="shared" si="441"/>
        <v>0.15130000000000002</v>
      </c>
      <c r="K1794" s="33">
        <f t="shared" si="444"/>
        <v>2.2695000000000003E-2</v>
      </c>
      <c r="L1794" s="52"/>
      <c r="O1794" s="2">
        <f t="shared" si="446"/>
        <v>2.8333333333333335E-2</v>
      </c>
      <c r="P1794" s="2">
        <f t="shared" si="447"/>
        <v>20.400000000000002</v>
      </c>
      <c r="Q1794" s="7">
        <f t="shared" si="448"/>
        <v>92.391304347826093</v>
      </c>
      <c r="R1794" s="2">
        <v>1.2</v>
      </c>
      <c r="S1794" s="2">
        <f t="shared" si="442"/>
        <v>4.45</v>
      </c>
      <c r="T1794" s="2"/>
      <c r="U1794" s="2"/>
      <c r="Y1794" s="8">
        <f t="shared" si="443"/>
        <v>3.2891304347826091</v>
      </c>
    </row>
    <row r="1795" spans="1:25" x14ac:dyDescent="0.25">
      <c r="A1795" s="34">
        <f t="shared" si="456"/>
        <v>1787</v>
      </c>
      <c r="B1795" s="35" t="e">
        <f t="shared" si="456"/>
        <v>#REF!</v>
      </c>
      <c r="C1795" s="42" t="s">
        <v>444</v>
      </c>
      <c r="D1795" s="43" t="s">
        <v>207</v>
      </c>
      <c r="E1795" s="43"/>
      <c r="F1795" s="36">
        <f ca="1">SUM(F1795:F1795)</f>
        <v>0.21</v>
      </c>
      <c r="G1795" s="36">
        <f ca="1">SUM(G1795:G1795)</f>
        <v>4.1370000000000004E-2</v>
      </c>
      <c r="H1795" s="36">
        <v>9.1999999999999998E-2</v>
      </c>
      <c r="I1795" s="37">
        <f ca="1">SUM(I1795:I1795)</f>
        <v>1.38E-2</v>
      </c>
      <c r="J1795" s="32">
        <f t="shared" si="441"/>
        <v>0.20470000000000005</v>
      </c>
      <c r="K1795" s="33">
        <f t="shared" si="444"/>
        <v>3.0705000000000007E-2</v>
      </c>
      <c r="L1795" s="52"/>
      <c r="O1795" s="2">
        <f t="shared" si="446"/>
        <v>3.8333333333333337E-2</v>
      </c>
      <c r="P1795" s="2">
        <f t="shared" si="447"/>
        <v>27.600000000000005</v>
      </c>
      <c r="Q1795" s="7">
        <f t="shared" si="448"/>
        <v>125.00000000000003</v>
      </c>
      <c r="R1795" s="2">
        <v>1.2</v>
      </c>
      <c r="S1795" s="2">
        <f t="shared" si="442"/>
        <v>4.45</v>
      </c>
      <c r="T1795" s="2"/>
      <c r="U1795" s="2"/>
      <c r="Y1795" s="8">
        <f t="shared" si="443"/>
        <v>4.4500000000000011</v>
      </c>
    </row>
    <row r="1796" spans="1:25" x14ac:dyDescent="0.25">
      <c r="A1796" s="34">
        <f t="shared" si="456"/>
        <v>1788</v>
      </c>
      <c r="B1796" s="35" t="e">
        <f t="shared" si="456"/>
        <v>#REF!</v>
      </c>
      <c r="C1796" s="42" t="s">
        <v>444</v>
      </c>
      <c r="D1796" s="43">
        <v>199</v>
      </c>
      <c r="E1796" s="43"/>
      <c r="F1796" s="36">
        <v>0.17199999999999999</v>
      </c>
      <c r="G1796" s="36">
        <f>F1796*0.197</f>
        <v>3.3883999999999997E-2</v>
      </c>
      <c r="H1796" s="36">
        <v>7.9000000000000001E-2</v>
      </c>
      <c r="I1796" s="37">
        <f>H1796*0.15</f>
        <v>1.1849999999999999E-2</v>
      </c>
      <c r="J1796" s="32">
        <f t="shared" si="441"/>
        <v>0.17577500000000001</v>
      </c>
      <c r="K1796" s="33">
        <f t="shared" si="444"/>
        <v>2.6366250000000001E-2</v>
      </c>
      <c r="L1796" s="52"/>
      <c r="O1796" s="2">
        <f t="shared" si="446"/>
        <v>3.291666666666667E-2</v>
      </c>
      <c r="P1796" s="2">
        <f t="shared" si="447"/>
        <v>23.700000000000003</v>
      </c>
      <c r="Q1796" s="7">
        <f t="shared" si="448"/>
        <v>107.33695652173914</v>
      </c>
      <c r="R1796" s="2">
        <v>1.2</v>
      </c>
      <c r="S1796" s="2">
        <f t="shared" si="442"/>
        <v>4.45</v>
      </c>
      <c r="T1796" s="2"/>
      <c r="U1796" s="2"/>
      <c r="Y1796" s="8">
        <f t="shared" si="443"/>
        <v>3.8211956521739134</v>
      </c>
    </row>
    <row r="1797" spans="1:25" x14ac:dyDescent="0.25">
      <c r="A1797" s="34">
        <f t="shared" si="456"/>
        <v>1789</v>
      </c>
      <c r="B1797" s="35" t="e">
        <f t="shared" si="456"/>
        <v>#REF!</v>
      </c>
      <c r="C1797" s="42" t="s">
        <v>444</v>
      </c>
      <c r="D1797" s="43" t="s">
        <v>446</v>
      </c>
      <c r="E1797" s="43"/>
      <c r="F1797" s="36">
        <f t="shared" ref="F1797:I1798" ca="1" si="459">SUM(F1797:F1797)</f>
        <v>8.2000000000000003E-2</v>
      </c>
      <c r="G1797" s="36">
        <f t="shared" ca="1" si="459"/>
        <v>1.6154000000000002E-2</v>
      </c>
      <c r="H1797" s="36">
        <v>1.2999999999999999E-2</v>
      </c>
      <c r="I1797" s="37">
        <f t="shared" ca="1" si="459"/>
        <v>1.9499999999999997E-3</v>
      </c>
      <c r="J1797" s="32">
        <f t="shared" si="441"/>
        <v>2.8924999999999999E-2</v>
      </c>
      <c r="K1797" s="33">
        <f t="shared" si="444"/>
        <v>4.3387499999999997E-3</v>
      </c>
      <c r="L1797" s="52"/>
      <c r="O1797" s="2">
        <f t="shared" si="446"/>
        <v>5.4166666666666669E-3</v>
      </c>
      <c r="P1797" s="2">
        <f t="shared" si="447"/>
        <v>3.9000000000000004</v>
      </c>
      <c r="Q1797" s="7">
        <f t="shared" si="448"/>
        <v>17.663043478260871</v>
      </c>
      <c r="R1797" s="2">
        <v>1.2</v>
      </c>
      <c r="S1797" s="2">
        <f t="shared" si="442"/>
        <v>4.45</v>
      </c>
      <c r="T1797" s="2"/>
      <c r="U1797" s="2"/>
      <c r="Y1797" s="8">
        <f t="shared" si="443"/>
        <v>0.62880434782608685</v>
      </c>
    </row>
    <row r="1798" spans="1:25" x14ac:dyDescent="0.25">
      <c r="A1798" s="34">
        <f t="shared" si="456"/>
        <v>1790</v>
      </c>
      <c r="B1798" s="35" t="e">
        <f t="shared" si="456"/>
        <v>#REF!</v>
      </c>
      <c r="C1798" s="42" t="s">
        <v>444</v>
      </c>
      <c r="D1798" s="43">
        <v>231</v>
      </c>
      <c r="E1798" s="43"/>
      <c r="F1798" s="36">
        <f t="shared" ca="1" si="459"/>
        <v>0.16300000000000001</v>
      </c>
      <c r="G1798" s="36">
        <f t="shared" ca="1" si="459"/>
        <v>3.2111000000000001E-2</v>
      </c>
      <c r="H1798" s="36">
        <v>6.0999999999999999E-2</v>
      </c>
      <c r="I1798" s="37">
        <f t="shared" ca="1" si="459"/>
        <v>9.1500000000000001E-3</v>
      </c>
      <c r="J1798" s="32">
        <f t="shared" si="441"/>
        <v>0.13572500000000001</v>
      </c>
      <c r="K1798" s="33">
        <f t="shared" si="444"/>
        <v>2.0358750000000002E-2</v>
      </c>
      <c r="L1798" s="52"/>
      <c r="O1798" s="2">
        <f t="shared" si="446"/>
        <v>2.5416666666666667E-2</v>
      </c>
      <c r="P1798" s="2">
        <f t="shared" si="447"/>
        <v>18.3</v>
      </c>
      <c r="Q1798" s="7">
        <f t="shared" si="448"/>
        <v>82.880434782608702</v>
      </c>
      <c r="R1798" s="2">
        <v>1.2</v>
      </c>
      <c r="S1798" s="2">
        <f t="shared" si="442"/>
        <v>4.45</v>
      </c>
      <c r="T1798" s="2"/>
      <c r="U1798" s="2"/>
      <c r="Y1798" s="8">
        <f t="shared" si="443"/>
        <v>2.9505434782608697</v>
      </c>
    </row>
    <row r="1799" spans="1:25" x14ac:dyDescent="0.25">
      <c r="A1799" s="34">
        <f t="shared" si="456"/>
        <v>1791</v>
      </c>
      <c r="B1799" s="35" t="e">
        <f t="shared" si="456"/>
        <v>#REF!</v>
      </c>
      <c r="C1799" s="42" t="s">
        <v>447</v>
      </c>
      <c r="D1799" s="43">
        <v>475</v>
      </c>
      <c r="E1799" s="43"/>
      <c r="F1799" s="36">
        <v>0.14399999999999999</v>
      </c>
      <c r="G1799" s="36">
        <f t="shared" ref="G1799:G1806" si="460">F1799*0.197</f>
        <v>2.8367999999999997E-2</v>
      </c>
      <c r="H1799" s="36">
        <v>4.8000000000000001E-2</v>
      </c>
      <c r="I1799" s="37">
        <f t="shared" ref="I1799:I1806" si="461">H1799*0.15</f>
        <v>7.1999999999999998E-3</v>
      </c>
      <c r="J1799" s="32">
        <f t="shared" si="441"/>
        <v>0.10680000000000001</v>
      </c>
      <c r="K1799" s="33">
        <f t="shared" si="444"/>
        <v>1.602E-2</v>
      </c>
      <c r="L1799" s="24" t="s">
        <v>16</v>
      </c>
      <c r="O1799" s="2">
        <f t="shared" si="446"/>
        <v>0.02</v>
      </c>
      <c r="P1799" s="2">
        <f t="shared" si="447"/>
        <v>14.399999999999999</v>
      </c>
      <c r="Q1799" s="7">
        <f t="shared" si="448"/>
        <v>65.217391304347814</v>
      </c>
      <c r="R1799" s="2">
        <v>1.2</v>
      </c>
      <c r="S1799" s="2">
        <f t="shared" si="442"/>
        <v>4.45</v>
      </c>
      <c r="T1799" s="2"/>
      <c r="U1799" s="2"/>
      <c r="Y1799" s="8">
        <f t="shared" si="443"/>
        <v>2.321739130434783</v>
      </c>
    </row>
    <row r="1800" spans="1:25" x14ac:dyDescent="0.25">
      <c r="A1800" s="34">
        <f t="shared" si="456"/>
        <v>1792</v>
      </c>
      <c r="B1800" s="35" t="e">
        <f t="shared" si="456"/>
        <v>#REF!</v>
      </c>
      <c r="C1800" s="42" t="s">
        <v>447</v>
      </c>
      <c r="D1800" s="43">
        <v>495</v>
      </c>
      <c r="E1800" s="43"/>
      <c r="F1800" s="36">
        <v>9.4E-2</v>
      </c>
      <c r="G1800" s="36">
        <f t="shared" si="460"/>
        <v>1.8518E-2</v>
      </c>
      <c r="H1800" s="36">
        <v>0.02</v>
      </c>
      <c r="I1800" s="37">
        <f t="shared" si="461"/>
        <v>3.0000000000000001E-3</v>
      </c>
      <c r="J1800" s="32">
        <f t="shared" si="441"/>
        <v>4.4500000000000005E-2</v>
      </c>
      <c r="K1800" s="33">
        <f t="shared" si="444"/>
        <v>6.6750000000000004E-3</v>
      </c>
      <c r="L1800" s="52"/>
      <c r="O1800" s="2">
        <f t="shared" si="446"/>
        <v>8.3333333333333332E-3</v>
      </c>
      <c r="P1800" s="2">
        <f t="shared" si="447"/>
        <v>6</v>
      </c>
      <c r="Q1800" s="7">
        <f t="shared" si="448"/>
        <v>27.173913043478262</v>
      </c>
      <c r="R1800" s="2">
        <v>1.2</v>
      </c>
      <c r="S1800" s="2">
        <f t="shared" si="442"/>
        <v>4.45</v>
      </c>
      <c r="T1800" s="2"/>
      <c r="U1800" s="2"/>
      <c r="Y1800" s="8">
        <f t="shared" si="443"/>
        <v>0.96739130434782616</v>
      </c>
    </row>
    <row r="1801" spans="1:25" x14ac:dyDescent="0.25">
      <c r="A1801" s="34">
        <f t="shared" si="456"/>
        <v>1793</v>
      </c>
      <c r="B1801" s="35" t="e">
        <f t="shared" si="456"/>
        <v>#REF!</v>
      </c>
      <c r="C1801" s="42" t="s">
        <v>447</v>
      </c>
      <c r="D1801" s="43">
        <v>499</v>
      </c>
      <c r="E1801" s="43"/>
      <c r="F1801" s="36">
        <v>9.6000000000000002E-2</v>
      </c>
      <c r="G1801" s="36">
        <f t="shared" si="460"/>
        <v>1.8912000000000002E-2</v>
      </c>
      <c r="H1801" s="36">
        <v>1.7000000000000001E-2</v>
      </c>
      <c r="I1801" s="37">
        <f t="shared" si="461"/>
        <v>2.5500000000000002E-3</v>
      </c>
      <c r="J1801" s="32">
        <f t="shared" ref="J1801:J1830" si="462">O1801*R1801*S1801</f>
        <v>3.7825000000000004E-2</v>
      </c>
      <c r="K1801" s="33">
        <f t="shared" si="444"/>
        <v>5.6737500000000008E-3</v>
      </c>
      <c r="L1801" s="52"/>
      <c r="O1801" s="2">
        <f t="shared" si="446"/>
        <v>7.0833333333333338E-3</v>
      </c>
      <c r="P1801" s="2">
        <f t="shared" si="447"/>
        <v>5.1000000000000005</v>
      </c>
      <c r="Q1801" s="7">
        <f t="shared" si="448"/>
        <v>23.097826086956523</v>
      </c>
      <c r="R1801" s="2">
        <v>1.2</v>
      </c>
      <c r="S1801" s="2">
        <f t="shared" ref="S1801:S1830" si="463">IF(Q1801&lt;=$AE$6,$AF$6,IF(Q1801&lt;=$AE$7,$AF$7,IF(Q1801&lt;=$AE$8,$AF$8,IF(Q1801&lt;=$AE$9,$AF$9,IF(Q1801&lt;=$AE$10,$AF$10,0)))))</f>
        <v>4.45</v>
      </c>
      <c r="T1801" s="2"/>
      <c r="U1801" s="2"/>
      <c r="Y1801" s="8">
        <f t="shared" ref="Y1801:Y1832" si="464">J1801/46*1000</f>
        <v>0.82228260869565228</v>
      </c>
    </row>
    <row r="1802" spans="1:25" x14ac:dyDescent="0.25">
      <c r="A1802" s="34">
        <f t="shared" si="456"/>
        <v>1794</v>
      </c>
      <c r="B1802" s="35" t="e">
        <f t="shared" si="456"/>
        <v>#REF!</v>
      </c>
      <c r="C1802" s="42" t="s">
        <v>447</v>
      </c>
      <c r="D1802" s="43">
        <v>513</v>
      </c>
      <c r="E1802" s="43"/>
      <c r="F1802" s="36">
        <v>0.121</v>
      </c>
      <c r="G1802" s="36">
        <f t="shared" si="460"/>
        <v>2.3837000000000001E-2</v>
      </c>
      <c r="H1802" s="36">
        <v>6.5000000000000002E-2</v>
      </c>
      <c r="I1802" s="37">
        <f t="shared" si="461"/>
        <v>9.75E-3</v>
      </c>
      <c r="J1802" s="32">
        <f t="shared" si="462"/>
        <v>0.144625</v>
      </c>
      <c r="K1802" s="33">
        <f t="shared" ref="K1802:K1866" si="465">J1802*0.15</f>
        <v>2.1693750000000001E-2</v>
      </c>
      <c r="L1802" s="24" t="s">
        <v>16</v>
      </c>
      <c r="O1802" s="2">
        <f t="shared" si="446"/>
        <v>2.7083333333333334E-2</v>
      </c>
      <c r="P1802" s="2">
        <f t="shared" si="447"/>
        <v>19.5</v>
      </c>
      <c r="Q1802" s="7">
        <f t="shared" si="448"/>
        <v>88.315217391304344</v>
      </c>
      <c r="R1802" s="2">
        <v>1.2</v>
      </c>
      <c r="S1802" s="2">
        <f t="shared" si="463"/>
        <v>4.45</v>
      </c>
      <c r="T1802" s="2"/>
      <c r="U1802" s="2"/>
      <c r="Y1802" s="8">
        <f t="shared" si="464"/>
        <v>3.1440217391304346</v>
      </c>
    </row>
    <row r="1803" spans="1:25" x14ac:dyDescent="0.25">
      <c r="A1803" s="34">
        <f t="shared" ref="A1803:B1818" si="466">A1802+1</f>
        <v>1795</v>
      </c>
      <c r="B1803" s="35" t="e">
        <f t="shared" si="466"/>
        <v>#REF!</v>
      </c>
      <c r="C1803" s="42" t="s">
        <v>447</v>
      </c>
      <c r="D1803" s="43">
        <v>515</v>
      </c>
      <c r="E1803" s="43"/>
      <c r="F1803" s="36">
        <v>0.14399999999999999</v>
      </c>
      <c r="G1803" s="36">
        <f t="shared" si="460"/>
        <v>2.8367999999999997E-2</v>
      </c>
      <c r="H1803" s="36">
        <v>4.3999999999999997E-2</v>
      </c>
      <c r="I1803" s="37">
        <f t="shared" si="461"/>
        <v>6.5999999999999991E-3</v>
      </c>
      <c r="J1803" s="32">
        <f t="shared" si="462"/>
        <v>9.7900000000000001E-2</v>
      </c>
      <c r="K1803" s="33">
        <f t="shared" si="465"/>
        <v>1.4685E-2</v>
      </c>
      <c r="L1803" s="24" t="s">
        <v>16</v>
      </c>
      <c r="O1803" s="2">
        <f t="shared" ref="O1803:O1867" si="467">H1803/2.4</f>
        <v>1.8333333333333333E-2</v>
      </c>
      <c r="P1803" s="2">
        <f t="shared" ref="P1803:P1867" si="468">O1803*24*30</f>
        <v>13.2</v>
      </c>
      <c r="Q1803" s="7">
        <f t="shared" ref="Q1803:Q1867" si="469">P1803/0.2208</f>
        <v>59.782608695652172</v>
      </c>
      <c r="R1803" s="2">
        <v>1.2</v>
      </c>
      <c r="S1803" s="2">
        <f t="shared" si="463"/>
        <v>4.45</v>
      </c>
      <c r="T1803" s="2"/>
      <c r="U1803" s="2"/>
      <c r="Y1803" s="8">
        <f t="shared" si="464"/>
        <v>2.1282608695652177</v>
      </c>
    </row>
    <row r="1804" spans="1:25" x14ac:dyDescent="0.25">
      <c r="A1804" s="34">
        <f t="shared" si="466"/>
        <v>1796</v>
      </c>
      <c r="B1804" s="35" t="e">
        <f t="shared" si="466"/>
        <v>#REF!</v>
      </c>
      <c r="C1804" s="42" t="s">
        <v>447</v>
      </c>
      <c r="D1804" s="43">
        <v>497</v>
      </c>
      <c r="E1804" s="43"/>
      <c r="F1804" s="36">
        <v>9.6000000000000002E-2</v>
      </c>
      <c r="G1804" s="36">
        <f t="shared" si="460"/>
        <v>1.8912000000000002E-2</v>
      </c>
      <c r="H1804" s="36">
        <v>1.7000000000000001E-2</v>
      </c>
      <c r="I1804" s="37">
        <f t="shared" si="461"/>
        <v>2.5500000000000002E-3</v>
      </c>
      <c r="J1804" s="32">
        <f t="shared" si="462"/>
        <v>3.7825000000000004E-2</v>
      </c>
      <c r="K1804" s="33">
        <f t="shared" si="465"/>
        <v>5.6737500000000008E-3</v>
      </c>
      <c r="L1804" s="52"/>
      <c r="O1804" s="2">
        <f t="shared" si="467"/>
        <v>7.0833333333333338E-3</v>
      </c>
      <c r="P1804" s="2">
        <f t="shared" si="468"/>
        <v>5.1000000000000005</v>
      </c>
      <c r="Q1804" s="7">
        <f t="shared" si="469"/>
        <v>23.097826086956523</v>
      </c>
      <c r="R1804" s="2">
        <v>1.2</v>
      </c>
      <c r="S1804" s="2">
        <f t="shared" si="463"/>
        <v>4.45</v>
      </c>
      <c r="T1804" s="2"/>
      <c r="U1804" s="2"/>
      <c r="Y1804" s="8">
        <f t="shared" si="464"/>
        <v>0.82228260869565228</v>
      </c>
    </row>
    <row r="1805" spans="1:25" x14ac:dyDescent="0.25">
      <c r="A1805" s="34">
        <f t="shared" si="466"/>
        <v>1797</v>
      </c>
      <c r="B1805" s="35" t="e">
        <f t="shared" si="466"/>
        <v>#REF!</v>
      </c>
      <c r="C1805" s="42" t="s">
        <v>406</v>
      </c>
      <c r="D1805" s="43">
        <v>202</v>
      </c>
      <c r="E1805" s="43"/>
      <c r="F1805" s="36">
        <v>0.10199999999999999</v>
      </c>
      <c r="G1805" s="36">
        <f t="shared" si="460"/>
        <v>2.0094000000000001E-2</v>
      </c>
      <c r="H1805" s="36">
        <v>3.6999999999999998E-2</v>
      </c>
      <c r="I1805" s="37">
        <f t="shared" si="461"/>
        <v>5.5499999999999994E-3</v>
      </c>
      <c r="J1805" s="32">
        <f t="shared" si="462"/>
        <v>8.2324999999999995E-2</v>
      </c>
      <c r="K1805" s="33">
        <f t="shared" si="465"/>
        <v>1.2348749999999999E-2</v>
      </c>
      <c r="L1805" s="52"/>
      <c r="O1805" s="2">
        <f t="shared" si="467"/>
        <v>1.5416666666666667E-2</v>
      </c>
      <c r="P1805" s="2">
        <f t="shared" si="468"/>
        <v>11.1</v>
      </c>
      <c r="Q1805" s="7">
        <f t="shared" si="469"/>
        <v>50.271739130434781</v>
      </c>
      <c r="R1805" s="2">
        <v>1.2</v>
      </c>
      <c r="S1805" s="2">
        <f t="shared" si="463"/>
        <v>4.45</v>
      </c>
      <c r="T1805" s="2"/>
      <c r="U1805" s="2"/>
      <c r="Y1805" s="8">
        <f t="shared" si="464"/>
        <v>1.7896739130434782</v>
      </c>
    </row>
    <row r="1806" spans="1:25" x14ac:dyDescent="0.25">
      <c r="A1806" s="34">
        <f t="shared" si="466"/>
        <v>1798</v>
      </c>
      <c r="B1806" s="35" t="e">
        <f t="shared" si="466"/>
        <v>#REF!</v>
      </c>
      <c r="C1806" s="42" t="s">
        <v>448</v>
      </c>
      <c r="D1806" s="43">
        <v>124</v>
      </c>
      <c r="E1806" s="43"/>
      <c r="F1806" s="36">
        <v>0.08</v>
      </c>
      <c r="G1806" s="36">
        <f t="shared" si="460"/>
        <v>1.576E-2</v>
      </c>
      <c r="H1806" s="36">
        <v>0.01</v>
      </c>
      <c r="I1806" s="37">
        <f t="shared" si="461"/>
        <v>1.5E-3</v>
      </c>
      <c r="J1806" s="32">
        <f t="shared" si="462"/>
        <v>2.2250000000000002E-2</v>
      </c>
      <c r="K1806" s="33">
        <f t="shared" si="465"/>
        <v>3.3375000000000002E-3</v>
      </c>
      <c r="L1806" s="24" t="s">
        <v>16</v>
      </c>
      <c r="O1806" s="2">
        <f t="shared" si="467"/>
        <v>4.1666666666666666E-3</v>
      </c>
      <c r="P1806" s="2">
        <f t="shared" si="468"/>
        <v>3</v>
      </c>
      <c r="Q1806" s="7">
        <f t="shared" si="469"/>
        <v>13.586956521739131</v>
      </c>
      <c r="R1806" s="2">
        <v>1.2</v>
      </c>
      <c r="S1806" s="2">
        <f t="shared" si="463"/>
        <v>4.45</v>
      </c>
      <c r="T1806" s="2"/>
      <c r="U1806" s="2"/>
      <c r="Y1806" s="8">
        <f t="shared" si="464"/>
        <v>0.48369565217391308</v>
      </c>
    </row>
    <row r="1807" spans="1:25" x14ac:dyDescent="0.25">
      <c r="A1807" s="34">
        <f t="shared" si="466"/>
        <v>1799</v>
      </c>
      <c r="B1807" s="35" t="e">
        <f t="shared" si="466"/>
        <v>#REF!</v>
      </c>
      <c r="C1807" s="42" t="s">
        <v>448</v>
      </c>
      <c r="D1807" s="43">
        <v>126</v>
      </c>
      <c r="E1807" s="43"/>
      <c r="F1807" s="36">
        <f ca="1">SUM(F1807:F1807)</f>
        <v>0.107</v>
      </c>
      <c r="G1807" s="36">
        <f ca="1">SUM(G1807:G1807)</f>
        <v>2.1079000000000001E-2</v>
      </c>
      <c r="H1807" s="36">
        <v>3.6999999999999998E-2</v>
      </c>
      <c r="I1807" s="37">
        <f ca="1">SUM(I1807:I1807)</f>
        <v>5.5500000000000002E-3</v>
      </c>
      <c r="J1807" s="32">
        <f t="shared" si="462"/>
        <v>8.2324999999999995E-2</v>
      </c>
      <c r="K1807" s="33">
        <f t="shared" si="465"/>
        <v>1.2348749999999999E-2</v>
      </c>
      <c r="L1807" s="52"/>
      <c r="O1807" s="2">
        <f t="shared" si="467"/>
        <v>1.5416666666666667E-2</v>
      </c>
      <c r="P1807" s="2">
        <f t="shared" si="468"/>
        <v>11.1</v>
      </c>
      <c r="Q1807" s="7">
        <f t="shared" si="469"/>
        <v>50.271739130434781</v>
      </c>
      <c r="R1807" s="2">
        <v>1.2</v>
      </c>
      <c r="S1807" s="2">
        <f t="shared" si="463"/>
        <v>4.45</v>
      </c>
      <c r="T1807" s="2"/>
      <c r="U1807" s="2"/>
      <c r="Y1807" s="8">
        <f t="shared" si="464"/>
        <v>1.7896739130434782</v>
      </c>
    </row>
    <row r="1808" spans="1:25" x14ac:dyDescent="0.25">
      <c r="A1808" s="34">
        <f t="shared" si="466"/>
        <v>1800</v>
      </c>
      <c r="B1808" s="35" t="e">
        <f t="shared" si="466"/>
        <v>#REF!</v>
      </c>
      <c r="C1808" s="42" t="s">
        <v>448</v>
      </c>
      <c r="D1808" s="43">
        <v>128</v>
      </c>
      <c r="E1808" s="43"/>
      <c r="F1808" s="36">
        <v>7.3999999999999996E-2</v>
      </c>
      <c r="G1808" s="36">
        <f t="shared" ref="G1808:G1816" si="470">F1808*0.197</f>
        <v>1.4578000000000001E-2</v>
      </c>
      <c r="H1808" s="36">
        <v>8.0000000000000002E-3</v>
      </c>
      <c r="I1808" s="37">
        <f t="shared" ref="I1808:I1816" si="471">H1808*0.15</f>
        <v>1.1999999999999999E-3</v>
      </c>
      <c r="J1808" s="32">
        <f t="shared" si="462"/>
        <v>1.78E-2</v>
      </c>
      <c r="K1808" s="33">
        <f t="shared" si="465"/>
        <v>2.6700000000000001E-3</v>
      </c>
      <c r="L1808" s="52"/>
      <c r="O1808" s="2">
        <f t="shared" si="467"/>
        <v>3.3333333333333335E-3</v>
      </c>
      <c r="P1808" s="2">
        <f t="shared" si="468"/>
        <v>2.4</v>
      </c>
      <c r="Q1808" s="7">
        <f t="shared" si="469"/>
        <v>10.869565217391305</v>
      </c>
      <c r="R1808" s="2">
        <v>1.2</v>
      </c>
      <c r="S1808" s="2">
        <f t="shared" si="463"/>
        <v>4.45</v>
      </c>
      <c r="T1808" s="2"/>
      <c r="U1808" s="2"/>
      <c r="Y1808" s="8">
        <f t="shared" si="464"/>
        <v>0.38695652173913048</v>
      </c>
    </row>
    <row r="1809" spans="1:25" x14ac:dyDescent="0.25">
      <c r="A1809" s="34">
        <f t="shared" si="466"/>
        <v>1801</v>
      </c>
      <c r="B1809" s="35" t="e">
        <f t="shared" si="466"/>
        <v>#REF!</v>
      </c>
      <c r="C1809" s="42" t="s">
        <v>448</v>
      </c>
      <c r="D1809" s="43">
        <v>130</v>
      </c>
      <c r="E1809" s="43"/>
      <c r="F1809" s="36">
        <v>4.5999999999999999E-2</v>
      </c>
      <c r="G1809" s="36">
        <f t="shared" si="470"/>
        <v>9.0620000000000006E-3</v>
      </c>
      <c r="H1809" s="36">
        <v>3.3000000000000002E-2</v>
      </c>
      <c r="I1809" s="37">
        <f t="shared" si="471"/>
        <v>4.9500000000000004E-3</v>
      </c>
      <c r="J1809" s="32">
        <f t="shared" si="462"/>
        <v>7.3425000000000004E-2</v>
      </c>
      <c r="K1809" s="33">
        <f t="shared" si="465"/>
        <v>1.1013750000000001E-2</v>
      </c>
      <c r="L1809" s="52"/>
      <c r="O1809" s="2">
        <f t="shared" si="467"/>
        <v>1.3750000000000002E-2</v>
      </c>
      <c r="P1809" s="2">
        <f t="shared" si="468"/>
        <v>9.9000000000000021</v>
      </c>
      <c r="Q1809" s="7">
        <f t="shared" si="469"/>
        <v>44.83695652173914</v>
      </c>
      <c r="R1809" s="2">
        <v>1.2</v>
      </c>
      <c r="S1809" s="2">
        <f t="shared" si="463"/>
        <v>4.45</v>
      </c>
      <c r="T1809" s="2"/>
      <c r="U1809" s="2"/>
      <c r="Y1809" s="8">
        <f t="shared" si="464"/>
        <v>1.5961956521739131</v>
      </c>
    </row>
    <row r="1810" spans="1:25" x14ac:dyDescent="0.25">
      <c r="A1810" s="34">
        <f t="shared" si="466"/>
        <v>1802</v>
      </c>
      <c r="B1810" s="35" t="e">
        <f t="shared" si="466"/>
        <v>#REF!</v>
      </c>
      <c r="C1810" s="42" t="s">
        <v>448</v>
      </c>
      <c r="D1810" s="43">
        <v>132</v>
      </c>
      <c r="E1810" s="43"/>
      <c r="F1810" s="36">
        <v>0.11</v>
      </c>
      <c r="G1810" s="36">
        <f t="shared" si="470"/>
        <v>2.1670000000000002E-2</v>
      </c>
      <c r="H1810" s="36">
        <v>0.03</v>
      </c>
      <c r="I1810" s="37">
        <f t="shared" si="471"/>
        <v>4.4999999999999997E-3</v>
      </c>
      <c r="J1810" s="32">
        <f t="shared" si="462"/>
        <v>6.6750000000000004E-2</v>
      </c>
      <c r="K1810" s="33">
        <f t="shared" si="465"/>
        <v>1.0012500000000001E-2</v>
      </c>
      <c r="L1810" s="52"/>
      <c r="O1810" s="2">
        <f t="shared" si="467"/>
        <v>1.2500000000000001E-2</v>
      </c>
      <c r="P1810" s="2">
        <f t="shared" si="468"/>
        <v>9.0000000000000018</v>
      </c>
      <c r="Q1810" s="7">
        <f t="shared" si="469"/>
        <v>40.760869565217398</v>
      </c>
      <c r="R1810" s="2">
        <v>1.2</v>
      </c>
      <c r="S1810" s="2">
        <f t="shared" si="463"/>
        <v>4.45</v>
      </c>
      <c r="T1810" s="2"/>
      <c r="U1810" s="2"/>
      <c r="Y1810" s="8">
        <f t="shared" si="464"/>
        <v>1.4510869565217392</v>
      </c>
    </row>
    <row r="1811" spans="1:25" x14ac:dyDescent="0.25">
      <c r="A1811" s="34">
        <f t="shared" si="466"/>
        <v>1803</v>
      </c>
      <c r="B1811" s="35" t="e">
        <f t="shared" si="466"/>
        <v>#REF!</v>
      </c>
      <c r="C1811" s="42" t="s">
        <v>448</v>
      </c>
      <c r="D1811" s="43">
        <v>134</v>
      </c>
      <c r="E1811" s="43"/>
      <c r="F1811" s="36">
        <v>0.13100000000000001</v>
      </c>
      <c r="G1811" s="36">
        <f t="shared" si="470"/>
        <v>2.5807000000000004E-2</v>
      </c>
      <c r="H1811" s="36">
        <v>2.7E-2</v>
      </c>
      <c r="I1811" s="37">
        <f t="shared" si="471"/>
        <v>4.0499999999999998E-3</v>
      </c>
      <c r="J1811" s="32">
        <f t="shared" si="462"/>
        <v>6.0075000000000003E-2</v>
      </c>
      <c r="K1811" s="33">
        <f t="shared" si="465"/>
        <v>9.0112500000000002E-3</v>
      </c>
      <c r="L1811" s="52"/>
      <c r="O1811" s="2">
        <f t="shared" si="467"/>
        <v>1.125E-2</v>
      </c>
      <c r="P1811" s="2">
        <f t="shared" si="468"/>
        <v>8.1000000000000014</v>
      </c>
      <c r="Q1811" s="7">
        <f t="shared" si="469"/>
        <v>36.684782608695656</v>
      </c>
      <c r="R1811" s="2">
        <v>1.2</v>
      </c>
      <c r="S1811" s="2">
        <f t="shared" si="463"/>
        <v>4.45</v>
      </c>
      <c r="T1811" s="2"/>
      <c r="U1811" s="2"/>
      <c r="Y1811" s="8">
        <f t="shared" si="464"/>
        <v>1.3059782608695654</v>
      </c>
    </row>
    <row r="1812" spans="1:25" x14ac:dyDescent="0.25">
      <c r="A1812" s="34">
        <f t="shared" si="466"/>
        <v>1804</v>
      </c>
      <c r="B1812" s="35" t="e">
        <f t="shared" si="466"/>
        <v>#REF!</v>
      </c>
      <c r="C1812" s="42" t="s">
        <v>448</v>
      </c>
      <c r="D1812" s="43">
        <v>140</v>
      </c>
      <c r="E1812" s="43"/>
      <c r="F1812" s="36">
        <v>0.128</v>
      </c>
      <c r="G1812" s="36">
        <f t="shared" si="470"/>
        <v>2.5216000000000002E-2</v>
      </c>
      <c r="H1812" s="36">
        <v>7.4999999999999997E-2</v>
      </c>
      <c r="I1812" s="37">
        <f t="shared" si="471"/>
        <v>1.125E-2</v>
      </c>
      <c r="J1812" s="32">
        <f t="shared" si="462"/>
        <v>0.166875</v>
      </c>
      <c r="K1812" s="33">
        <f t="shared" si="465"/>
        <v>2.5031249999999998E-2</v>
      </c>
      <c r="L1812" s="52"/>
      <c r="O1812" s="2">
        <f t="shared" si="467"/>
        <v>3.125E-2</v>
      </c>
      <c r="P1812" s="2">
        <f t="shared" si="468"/>
        <v>22.5</v>
      </c>
      <c r="Q1812" s="7">
        <f t="shared" si="469"/>
        <v>101.90217391304348</v>
      </c>
      <c r="R1812" s="2">
        <v>1.2</v>
      </c>
      <c r="S1812" s="2">
        <f t="shared" si="463"/>
        <v>4.45</v>
      </c>
      <c r="T1812" s="2"/>
      <c r="U1812" s="2"/>
      <c r="Y1812" s="8">
        <f t="shared" si="464"/>
        <v>3.6277173913043477</v>
      </c>
    </row>
    <row r="1813" spans="1:25" x14ac:dyDescent="0.25">
      <c r="A1813" s="34">
        <f t="shared" si="466"/>
        <v>1805</v>
      </c>
      <c r="B1813" s="35" t="e">
        <f t="shared" si="466"/>
        <v>#REF!</v>
      </c>
      <c r="C1813" s="42" t="s">
        <v>448</v>
      </c>
      <c r="D1813" s="43">
        <v>243</v>
      </c>
      <c r="E1813" s="43"/>
      <c r="F1813" s="36">
        <v>0.16500000000000001</v>
      </c>
      <c r="G1813" s="36">
        <f t="shared" si="470"/>
        <v>3.2505000000000006E-2</v>
      </c>
      <c r="H1813" s="36">
        <v>6.8000000000000005E-2</v>
      </c>
      <c r="I1813" s="37">
        <f t="shared" si="471"/>
        <v>1.0200000000000001E-2</v>
      </c>
      <c r="J1813" s="32">
        <f t="shared" si="462"/>
        <v>0.15130000000000002</v>
      </c>
      <c r="K1813" s="33">
        <f t="shared" si="465"/>
        <v>2.2695000000000003E-2</v>
      </c>
      <c r="L1813" s="24" t="s">
        <v>16</v>
      </c>
      <c r="O1813" s="2">
        <f t="shared" si="467"/>
        <v>2.8333333333333335E-2</v>
      </c>
      <c r="P1813" s="2">
        <f t="shared" si="468"/>
        <v>20.400000000000002</v>
      </c>
      <c r="Q1813" s="7">
        <f t="shared" si="469"/>
        <v>92.391304347826093</v>
      </c>
      <c r="R1813" s="2">
        <v>1.2</v>
      </c>
      <c r="S1813" s="2">
        <f t="shared" si="463"/>
        <v>4.45</v>
      </c>
      <c r="T1813" s="2"/>
      <c r="U1813" s="2"/>
      <c r="Y1813" s="8">
        <f t="shared" si="464"/>
        <v>3.2891304347826091</v>
      </c>
    </row>
    <row r="1814" spans="1:25" x14ac:dyDescent="0.25">
      <c r="A1814" s="34">
        <f t="shared" si="466"/>
        <v>1806</v>
      </c>
      <c r="B1814" s="35" t="e">
        <f t="shared" si="466"/>
        <v>#REF!</v>
      </c>
      <c r="C1814" s="42" t="s">
        <v>449</v>
      </c>
      <c r="D1814" s="43">
        <v>82</v>
      </c>
      <c r="E1814" s="43"/>
      <c r="F1814" s="36">
        <v>0.13600000000000001</v>
      </c>
      <c r="G1814" s="36">
        <f t="shared" si="470"/>
        <v>2.6792000000000003E-2</v>
      </c>
      <c r="H1814" s="36">
        <v>4.7E-2</v>
      </c>
      <c r="I1814" s="37">
        <f t="shared" si="471"/>
        <v>7.0499999999999998E-3</v>
      </c>
      <c r="J1814" s="32">
        <f t="shared" si="462"/>
        <v>0.104575</v>
      </c>
      <c r="K1814" s="33">
        <f t="shared" si="465"/>
        <v>1.5686249999999999E-2</v>
      </c>
      <c r="L1814" s="52"/>
      <c r="O1814" s="2">
        <f t="shared" si="467"/>
        <v>1.9583333333333335E-2</v>
      </c>
      <c r="P1814" s="2">
        <f t="shared" si="468"/>
        <v>14.100000000000001</v>
      </c>
      <c r="Q1814" s="7">
        <f t="shared" si="469"/>
        <v>63.858695652173921</v>
      </c>
      <c r="R1814" s="2">
        <v>1.2</v>
      </c>
      <c r="S1814" s="2">
        <f t="shared" si="463"/>
        <v>4.45</v>
      </c>
      <c r="T1814" s="2"/>
      <c r="U1814" s="2"/>
      <c r="Y1814" s="8">
        <f t="shared" si="464"/>
        <v>2.2733695652173913</v>
      </c>
    </row>
    <row r="1815" spans="1:25" x14ac:dyDescent="0.25">
      <c r="A1815" s="34">
        <f t="shared" si="466"/>
        <v>1807</v>
      </c>
      <c r="B1815" s="35" t="e">
        <f t="shared" si="466"/>
        <v>#REF!</v>
      </c>
      <c r="C1815" s="42" t="s">
        <v>449</v>
      </c>
      <c r="D1815" s="43">
        <v>91</v>
      </c>
      <c r="E1815" s="43"/>
      <c r="F1815" s="36">
        <v>0.13400000000000001</v>
      </c>
      <c r="G1815" s="36">
        <f t="shared" si="470"/>
        <v>2.6398000000000001E-2</v>
      </c>
      <c r="H1815" s="36">
        <v>4.1000000000000002E-2</v>
      </c>
      <c r="I1815" s="37">
        <f t="shared" si="471"/>
        <v>6.1500000000000001E-3</v>
      </c>
      <c r="J1815" s="32">
        <f t="shared" si="462"/>
        <v>9.1225000000000001E-2</v>
      </c>
      <c r="K1815" s="33">
        <f t="shared" si="465"/>
        <v>1.368375E-2</v>
      </c>
      <c r="L1815" s="52"/>
      <c r="O1815" s="2">
        <f t="shared" si="467"/>
        <v>1.7083333333333336E-2</v>
      </c>
      <c r="P1815" s="2">
        <f t="shared" si="468"/>
        <v>12.3</v>
      </c>
      <c r="Q1815" s="7">
        <f t="shared" si="469"/>
        <v>55.706521739130437</v>
      </c>
      <c r="R1815" s="2">
        <v>1.2</v>
      </c>
      <c r="S1815" s="2">
        <f t="shared" si="463"/>
        <v>4.45</v>
      </c>
      <c r="T1815" s="2"/>
      <c r="U1815" s="2"/>
      <c r="Y1815" s="8">
        <f t="shared" si="464"/>
        <v>1.9831521739130433</v>
      </c>
    </row>
    <row r="1816" spans="1:25" x14ac:dyDescent="0.25">
      <c r="A1816" s="34">
        <f t="shared" si="466"/>
        <v>1808</v>
      </c>
      <c r="B1816" s="35" t="e">
        <f t="shared" si="466"/>
        <v>#REF!</v>
      </c>
      <c r="C1816" s="42" t="s">
        <v>450</v>
      </c>
      <c r="D1816" s="43">
        <v>3</v>
      </c>
      <c r="E1816" s="43"/>
      <c r="F1816" s="36">
        <v>0.11</v>
      </c>
      <c r="G1816" s="36">
        <f t="shared" si="470"/>
        <v>2.1670000000000002E-2</v>
      </c>
      <c r="H1816" s="36">
        <v>0.47</v>
      </c>
      <c r="I1816" s="37">
        <f t="shared" si="471"/>
        <v>7.0499999999999993E-2</v>
      </c>
      <c r="J1816" s="32">
        <f t="shared" si="462"/>
        <v>0.70499999999999996</v>
      </c>
      <c r="K1816" s="33">
        <f t="shared" si="465"/>
        <v>0.10575</v>
      </c>
      <c r="L1816" s="52"/>
      <c r="O1816" s="2">
        <f t="shared" si="467"/>
        <v>0.19583333333333333</v>
      </c>
      <c r="P1816" s="2">
        <f t="shared" si="468"/>
        <v>141</v>
      </c>
      <c r="Q1816" s="7">
        <f t="shared" si="469"/>
        <v>638.58695652173913</v>
      </c>
      <c r="R1816" s="2">
        <v>1.2</v>
      </c>
      <c r="S1816" s="2">
        <f t="shared" si="463"/>
        <v>3</v>
      </c>
      <c r="T1816" s="2"/>
      <c r="U1816" s="2"/>
      <c r="Y1816" s="8">
        <f t="shared" si="464"/>
        <v>15.326086956521738</v>
      </c>
    </row>
    <row r="1817" spans="1:25" x14ac:dyDescent="0.25">
      <c r="A1817" s="34">
        <f t="shared" si="466"/>
        <v>1809</v>
      </c>
      <c r="B1817" s="35" t="e">
        <f t="shared" si="466"/>
        <v>#REF!</v>
      </c>
      <c r="C1817" s="42" t="s">
        <v>450</v>
      </c>
      <c r="D1817" s="43">
        <v>7</v>
      </c>
      <c r="E1817" s="43"/>
      <c r="F1817" s="36">
        <f ca="1">SUM(F1817:F1817)</f>
        <v>0.13</v>
      </c>
      <c r="G1817" s="36">
        <f ca="1">SUM(G1817:G1817)</f>
        <v>2.5610000000000001E-2</v>
      </c>
      <c r="H1817" s="36">
        <v>4.2900000000000001E-2</v>
      </c>
      <c r="I1817" s="37">
        <f ca="1">SUM(I1817:I1817)</f>
        <v>6.4349999999999997E-3</v>
      </c>
      <c r="J1817" s="32">
        <f t="shared" si="462"/>
        <v>9.545250000000001E-2</v>
      </c>
      <c r="K1817" s="33">
        <f t="shared" si="465"/>
        <v>1.4317875000000001E-2</v>
      </c>
      <c r="L1817" s="24" t="s">
        <v>16</v>
      </c>
      <c r="O1817" s="2">
        <f t="shared" si="467"/>
        <v>1.7875000000000002E-2</v>
      </c>
      <c r="P1817" s="2">
        <f t="shared" si="468"/>
        <v>12.870000000000001</v>
      </c>
      <c r="Q1817" s="7">
        <f t="shared" si="469"/>
        <v>58.288043478260875</v>
      </c>
      <c r="R1817" s="2">
        <v>1.2</v>
      </c>
      <c r="S1817" s="2">
        <f t="shared" si="463"/>
        <v>4.45</v>
      </c>
      <c r="T1817" s="2"/>
      <c r="U1817" s="2"/>
      <c r="Y1817" s="8">
        <f t="shared" si="464"/>
        <v>2.0750543478260872</v>
      </c>
    </row>
    <row r="1818" spans="1:25" x14ac:dyDescent="0.25">
      <c r="A1818" s="34">
        <f t="shared" si="466"/>
        <v>1810</v>
      </c>
      <c r="B1818" s="35" t="e">
        <f t="shared" si="466"/>
        <v>#REF!</v>
      </c>
      <c r="C1818" s="42" t="s">
        <v>450</v>
      </c>
      <c r="D1818" s="43">
        <v>8</v>
      </c>
      <c r="E1818" s="43"/>
      <c r="F1818" s="36">
        <v>5.2999999999999999E-2</v>
      </c>
      <c r="G1818" s="36">
        <f>F1818*0.197</f>
        <v>1.0441000000000001E-2</v>
      </c>
      <c r="H1818" s="36">
        <v>8.0000000000000002E-3</v>
      </c>
      <c r="I1818" s="37">
        <f>H1818*0.15</f>
        <v>1.1999999999999999E-3</v>
      </c>
      <c r="J1818" s="32">
        <f t="shared" si="462"/>
        <v>1.78E-2</v>
      </c>
      <c r="K1818" s="33">
        <f t="shared" si="465"/>
        <v>2.6700000000000001E-3</v>
      </c>
      <c r="L1818" s="24" t="s">
        <v>16</v>
      </c>
      <c r="O1818" s="2">
        <f t="shared" si="467"/>
        <v>3.3333333333333335E-3</v>
      </c>
      <c r="P1818" s="2">
        <f t="shared" si="468"/>
        <v>2.4</v>
      </c>
      <c r="Q1818" s="7">
        <f t="shared" si="469"/>
        <v>10.869565217391305</v>
      </c>
      <c r="R1818" s="2">
        <v>1.2</v>
      </c>
      <c r="S1818" s="2">
        <f t="shared" si="463"/>
        <v>4.45</v>
      </c>
      <c r="T1818" s="2"/>
      <c r="U1818" s="2"/>
      <c r="Y1818" s="8">
        <f t="shared" si="464"/>
        <v>0.38695652173913048</v>
      </c>
    </row>
    <row r="1819" spans="1:25" x14ac:dyDescent="0.25">
      <c r="A1819" s="34">
        <f t="shared" ref="A1819:B1830" si="472">A1818+1</f>
        <v>1811</v>
      </c>
      <c r="B1819" s="35" t="e">
        <f t="shared" si="472"/>
        <v>#REF!</v>
      </c>
      <c r="C1819" s="42" t="s">
        <v>450</v>
      </c>
      <c r="D1819" s="43">
        <v>12</v>
      </c>
      <c r="E1819" s="43"/>
      <c r="F1819" s="36">
        <v>0.107</v>
      </c>
      <c r="G1819" s="36">
        <f>F1819*0.197</f>
        <v>2.1079000000000001E-2</v>
      </c>
      <c r="H1819" s="36">
        <v>2.7E-2</v>
      </c>
      <c r="I1819" s="37">
        <f>H1819*0.15</f>
        <v>4.0499999999999998E-3</v>
      </c>
      <c r="J1819" s="32">
        <f t="shared" si="462"/>
        <v>6.0075000000000003E-2</v>
      </c>
      <c r="K1819" s="33">
        <f t="shared" si="465"/>
        <v>9.0112500000000002E-3</v>
      </c>
      <c r="L1819" s="52"/>
      <c r="O1819" s="2">
        <f t="shared" si="467"/>
        <v>1.125E-2</v>
      </c>
      <c r="P1819" s="2">
        <f t="shared" si="468"/>
        <v>8.1000000000000014</v>
      </c>
      <c r="Q1819" s="7">
        <f t="shared" si="469"/>
        <v>36.684782608695656</v>
      </c>
      <c r="R1819" s="2">
        <v>1.2</v>
      </c>
      <c r="S1819" s="2">
        <f t="shared" si="463"/>
        <v>4.45</v>
      </c>
      <c r="T1819" s="2"/>
      <c r="U1819" s="2"/>
      <c r="Y1819" s="8">
        <f t="shared" si="464"/>
        <v>1.3059782608695654</v>
      </c>
    </row>
    <row r="1820" spans="1:25" x14ac:dyDescent="0.25">
      <c r="A1820" s="34">
        <f t="shared" si="472"/>
        <v>1812</v>
      </c>
      <c r="B1820" s="35" t="e">
        <f t="shared" si="472"/>
        <v>#REF!</v>
      </c>
      <c r="C1820" s="42" t="s">
        <v>450</v>
      </c>
      <c r="D1820" s="43">
        <v>16</v>
      </c>
      <c r="E1820" s="43"/>
      <c r="F1820" s="36">
        <f t="shared" ref="F1820:I1821" ca="1" si="473">SUM(F1820:F1820)</f>
        <v>0.11699999999999999</v>
      </c>
      <c r="G1820" s="36">
        <f t="shared" ca="1" si="473"/>
        <v>2.3049E-2</v>
      </c>
      <c r="H1820" s="36">
        <v>2.7300000000000001E-2</v>
      </c>
      <c r="I1820" s="37">
        <f t="shared" ca="1" si="473"/>
        <v>4.0949999999999997E-3</v>
      </c>
      <c r="J1820" s="32">
        <f t="shared" si="462"/>
        <v>6.0742500000000005E-2</v>
      </c>
      <c r="K1820" s="33">
        <f t="shared" si="465"/>
        <v>9.1113749999999997E-3</v>
      </c>
      <c r="L1820" s="24" t="s">
        <v>16</v>
      </c>
      <c r="O1820" s="2">
        <f t="shared" si="467"/>
        <v>1.1375000000000001E-2</v>
      </c>
      <c r="P1820" s="2">
        <f t="shared" si="468"/>
        <v>8.1900000000000013</v>
      </c>
      <c r="Q1820" s="7">
        <f t="shared" si="469"/>
        <v>37.092391304347835</v>
      </c>
      <c r="R1820" s="2">
        <v>1.2</v>
      </c>
      <c r="S1820" s="2">
        <f t="shared" si="463"/>
        <v>4.45</v>
      </c>
      <c r="T1820" s="2"/>
      <c r="U1820" s="2"/>
      <c r="Y1820" s="8">
        <f t="shared" si="464"/>
        <v>1.3204891304347828</v>
      </c>
    </row>
    <row r="1821" spans="1:25" x14ac:dyDescent="0.25">
      <c r="A1821" s="34">
        <f t="shared" si="472"/>
        <v>1813</v>
      </c>
      <c r="B1821" s="35" t="e">
        <f t="shared" si="472"/>
        <v>#REF!</v>
      </c>
      <c r="C1821" s="42" t="s">
        <v>450</v>
      </c>
      <c r="D1821" s="43">
        <v>27</v>
      </c>
      <c r="E1821" s="43"/>
      <c r="F1821" s="36">
        <f t="shared" ca="1" si="473"/>
        <v>8.7999999999999995E-2</v>
      </c>
      <c r="G1821" s="36">
        <f t="shared" ca="1" si="473"/>
        <v>1.7336000000000001E-2</v>
      </c>
      <c r="H1821" s="36">
        <v>3.5999999999999997E-2</v>
      </c>
      <c r="I1821" s="37">
        <f t="shared" ca="1" si="473"/>
        <v>5.4000000000000003E-3</v>
      </c>
      <c r="J1821" s="32">
        <f t="shared" si="462"/>
        <v>8.0099999999999991E-2</v>
      </c>
      <c r="K1821" s="33">
        <f t="shared" si="465"/>
        <v>1.2014999999999998E-2</v>
      </c>
      <c r="L1821" s="24" t="s">
        <v>16</v>
      </c>
      <c r="O1821" s="2">
        <f t="shared" si="467"/>
        <v>1.4999999999999999E-2</v>
      </c>
      <c r="P1821" s="2">
        <f t="shared" si="468"/>
        <v>10.799999999999999</v>
      </c>
      <c r="Q1821" s="7">
        <f t="shared" si="469"/>
        <v>48.913043478260867</v>
      </c>
      <c r="R1821" s="2">
        <v>1.2</v>
      </c>
      <c r="S1821" s="2">
        <f t="shared" si="463"/>
        <v>4.45</v>
      </c>
      <c r="T1821" s="2"/>
      <c r="U1821" s="2"/>
      <c r="Y1821" s="8">
        <f t="shared" si="464"/>
        <v>1.7413043478260866</v>
      </c>
    </row>
    <row r="1822" spans="1:25" x14ac:dyDescent="0.25">
      <c r="A1822" s="34">
        <f t="shared" si="472"/>
        <v>1814</v>
      </c>
      <c r="B1822" s="35" t="e">
        <f t="shared" si="472"/>
        <v>#REF!</v>
      </c>
      <c r="C1822" s="42" t="s">
        <v>450</v>
      </c>
      <c r="D1822" s="43">
        <v>31</v>
      </c>
      <c r="E1822" s="43"/>
      <c r="F1822" s="36">
        <v>0.105</v>
      </c>
      <c r="G1822" s="36">
        <f>F1822*0.197</f>
        <v>2.0684999999999999E-2</v>
      </c>
      <c r="H1822" s="36">
        <v>1.4E-2</v>
      </c>
      <c r="I1822" s="37">
        <f>H1822*0.15</f>
        <v>2.0999999999999999E-3</v>
      </c>
      <c r="J1822" s="32">
        <f t="shared" si="462"/>
        <v>3.1150000000000001E-2</v>
      </c>
      <c r="K1822" s="33">
        <f t="shared" si="465"/>
        <v>4.6724999999999996E-3</v>
      </c>
      <c r="L1822" s="52"/>
      <c r="O1822" s="2">
        <f t="shared" si="467"/>
        <v>5.8333333333333336E-3</v>
      </c>
      <c r="P1822" s="2">
        <f t="shared" si="468"/>
        <v>4.2</v>
      </c>
      <c r="Q1822" s="7">
        <f t="shared" si="469"/>
        <v>19.021739130434785</v>
      </c>
      <c r="R1822" s="2">
        <v>1.2</v>
      </c>
      <c r="S1822" s="2">
        <f t="shared" si="463"/>
        <v>4.45</v>
      </c>
      <c r="T1822" s="2"/>
      <c r="U1822" s="2"/>
      <c r="Y1822" s="8">
        <f t="shared" si="464"/>
        <v>0.67717391304347829</v>
      </c>
    </row>
    <row r="1823" spans="1:25" x14ac:dyDescent="0.25">
      <c r="A1823" s="34">
        <f t="shared" si="472"/>
        <v>1815</v>
      </c>
      <c r="B1823" s="35" t="e">
        <f t="shared" si="472"/>
        <v>#REF!</v>
      </c>
      <c r="C1823" s="42" t="s">
        <v>450</v>
      </c>
      <c r="D1823" s="43">
        <v>34</v>
      </c>
      <c r="E1823" s="43"/>
      <c r="F1823" s="36">
        <v>0.11</v>
      </c>
      <c r="G1823" s="36">
        <f>F1823*0.197</f>
        <v>2.1670000000000002E-2</v>
      </c>
      <c r="H1823" s="36">
        <v>3.4000000000000002E-2</v>
      </c>
      <c r="I1823" s="37">
        <f>H1823*0.15</f>
        <v>5.1000000000000004E-3</v>
      </c>
      <c r="J1823" s="32">
        <f t="shared" si="462"/>
        <v>7.5650000000000009E-2</v>
      </c>
      <c r="K1823" s="33">
        <f t="shared" si="465"/>
        <v>1.1347500000000002E-2</v>
      </c>
      <c r="L1823" s="24" t="s">
        <v>16</v>
      </c>
      <c r="O1823" s="2">
        <f t="shared" si="467"/>
        <v>1.4166666666666668E-2</v>
      </c>
      <c r="P1823" s="2">
        <f t="shared" si="468"/>
        <v>10.200000000000001</v>
      </c>
      <c r="Q1823" s="7">
        <f t="shared" si="469"/>
        <v>46.195652173913047</v>
      </c>
      <c r="R1823" s="2">
        <v>1.2</v>
      </c>
      <c r="S1823" s="2">
        <f t="shared" si="463"/>
        <v>4.45</v>
      </c>
      <c r="T1823" s="2"/>
      <c r="U1823" s="2"/>
      <c r="Y1823" s="8">
        <f t="shared" si="464"/>
        <v>1.6445652173913046</v>
      </c>
    </row>
    <row r="1824" spans="1:25" x14ac:dyDescent="0.25">
      <c r="A1824" s="34">
        <f t="shared" si="472"/>
        <v>1816</v>
      </c>
      <c r="B1824" s="35" t="e">
        <f t="shared" si="472"/>
        <v>#REF!</v>
      </c>
      <c r="C1824" s="42" t="s">
        <v>450</v>
      </c>
      <c r="D1824" s="43">
        <v>40</v>
      </c>
      <c r="E1824" s="43"/>
      <c r="F1824" s="36">
        <v>0.159</v>
      </c>
      <c r="G1824" s="36">
        <v>3.1322999999999997E-2</v>
      </c>
      <c r="H1824" s="36">
        <v>0.03</v>
      </c>
      <c r="I1824" s="37">
        <v>4.4999999999999997E-3</v>
      </c>
      <c r="J1824" s="32">
        <f t="shared" si="462"/>
        <v>6.6750000000000004E-2</v>
      </c>
      <c r="K1824" s="33">
        <f t="shared" si="465"/>
        <v>1.0012500000000001E-2</v>
      </c>
      <c r="L1824" s="52"/>
      <c r="O1824" s="2">
        <f t="shared" si="467"/>
        <v>1.2500000000000001E-2</v>
      </c>
      <c r="P1824" s="2">
        <f t="shared" si="468"/>
        <v>9.0000000000000018</v>
      </c>
      <c r="Q1824" s="7">
        <f t="shared" si="469"/>
        <v>40.760869565217398</v>
      </c>
      <c r="R1824" s="2">
        <v>1.2</v>
      </c>
      <c r="S1824" s="2">
        <f t="shared" si="463"/>
        <v>4.45</v>
      </c>
      <c r="T1824" s="2"/>
      <c r="U1824" s="2"/>
      <c r="Y1824" s="8">
        <f t="shared" si="464"/>
        <v>1.4510869565217392</v>
      </c>
    </row>
    <row r="1825" spans="1:25" x14ac:dyDescent="0.25">
      <c r="A1825" s="34">
        <f t="shared" si="472"/>
        <v>1817</v>
      </c>
      <c r="B1825" s="35" t="e">
        <f t="shared" si="472"/>
        <v>#REF!</v>
      </c>
      <c r="C1825" s="42" t="s">
        <v>450</v>
      </c>
      <c r="D1825" s="43">
        <v>41</v>
      </c>
      <c r="E1825" s="43"/>
      <c r="F1825" s="36">
        <v>0.10199999999999999</v>
      </c>
      <c r="G1825" s="36">
        <f>F1825*0.197</f>
        <v>2.0094000000000001E-2</v>
      </c>
      <c r="H1825" s="36">
        <v>2.5000000000000001E-2</v>
      </c>
      <c r="I1825" s="37">
        <f>H1825*0.15</f>
        <v>3.7499999999999999E-3</v>
      </c>
      <c r="J1825" s="32">
        <f t="shared" si="462"/>
        <v>5.5625000000000008E-2</v>
      </c>
      <c r="K1825" s="33">
        <f t="shared" si="465"/>
        <v>8.3437500000000005E-3</v>
      </c>
      <c r="L1825" s="52"/>
      <c r="O1825" s="2">
        <f t="shared" si="467"/>
        <v>1.0416666666666668E-2</v>
      </c>
      <c r="P1825" s="2">
        <f t="shared" si="468"/>
        <v>7.5</v>
      </c>
      <c r="Q1825" s="7">
        <f t="shared" si="469"/>
        <v>33.967391304347828</v>
      </c>
      <c r="R1825" s="2">
        <v>1.2</v>
      </c>
      <c r="S1825" s="2">
        <f t="shared" si="463"/>
        <v>4.45</v>
      </c>
      <c r="T1825" s="2"/>
      <c r="U1825" s="2"/>
      <c r="Y1825" s="8">
        <f t="shared" si="464"/>
        <v>1.2092391304347827</v>
      </c>
    </row>
    <row r="1826" spans="1:25" x14ac:dyDescent="0.25">
      <c r="A1826" s="34">
        <f t="shared" si="472"/>
        <v>1818</v>
      </c>
      <c r="B1826" s="35" t="e">
        <f t="shared" si="472"/>
        <v>#REF!</v>
      </c>
      <c r="C1826" s="42" t="s">
        <v>450</v>
      </c>
      <c r="D1826" s="43">
        <v>42</v>
      </c>
      <c r="E1826" s="43"/>
      <c r="F1826" s="36">
        <v>0.14899999999999999</v>
      </c>
      <c r="G1826" s="36">
        <v>2.9353000000000001E-2</v>
      </c>
      <c r="H1826" s="36">
        <v>2.8000000000000001E-2</v>
      </c>
      <c r="I1826" s="37">
        <v>4.1999999999999997E-3</v>
      </c>
      <c r="J1826" s="32">
        <f t="shared" si="462"/>
        <v>6.2300000000000001E-2</v>
      </c>
      <c r="K1826" s="33">
        <f t="shared" si="465"/>
        <v>9.3449999999999991E-3</v>
      </c>
      <c r="L1826" s="24" t="s">
        <v>16</v>
      </c>
      <c r="O1826" s="2">
        <f t="shared" si="467"/>
        <v>1.1666666666666667E-2</v>
      </c>
      <c r="P1826" s="2">
        <f t="shared" si="468"/>
        <v>8.4</v>
      </c>
      <c r="Q1826" s="7">
        <f t="shared" si="469"/>
        <v>38.04347826086957</v>
      </c>
      <c r="R1826" s="2">
        <v>1.2</v>
      </c>
      <c r="S1826" s="2">
        <f t="shared" si="463"/>
        <v>4.45</v>
      </c>
      <c r="T1826" s="2"/>
      <c r="U1826" s="2"/>
      <c r="Y1826" s="8">
        <f t="shared" si="464"/>
        <v>1.3543478260869566</v>
      </c>
    </row>
    <row r="1827" spans="1:25" x14ac:dyDescent="0.25">
      <c r="A1827" s="34">
        <f t="shared" si="472"/>
        <v>1819</v>
      </c>
      <c r="B1827" s="35" t="e">
        <f t="shared" si="472"/>
        <v>#REF!</v>
      </c>
      <c r="C1827" s="42" t="s">
        <v>450</v>
      </c>
      <c r="D1827" s="43">
        <v>43</v>
      </c>
      <c r="E1827" s="43"/>
      <c r="F1827" s="36">
        <v>0.27</v>
      </c>
      <c r="G1827" s="36">
        <v>5.3190000000000001E-2</v>
      </c>
      <c r="H1827" s="36">
        <v>0.21199999999999999</v>
      </c>
      <c r="I1827" s="37">
        <v>3.1799999999999995E-2</v>
      </c>
      <c r="J1827" s="32">
        <f t="shared" si="462"/>
        <v>0.37629999999999997</v>
      </c>
      <c r="K1827" s="33">
        <f t="shared" si="465"/>
        <v>5.6444999999999995E-2</v>
      </c>
      <c r="L1827" s="52"/>
      <c r="O1827" s="2">
        <f t="shared" si="467"/>
        <v>8.8333333333333333E-2</v>
      </c>
      <c r="P1827" s="2">
        <f t="shared" si="468"/>
        <v>63.6</v>
      </c>
      <c r="Q1827" s="7">
        <f t="shared" si="469"/>
        <v>288.04347826086956</v>
      </c>
      <c r="R1827" s="2">
        <v>1.2</v>
      </c>
      <c r="S1827" s="2">
        <f t="shared" si="463"/>
        <v>3.55</v>
      </c>
      <c r="T1827" s="2"/>
      <c r="U1827" s="2"/>
      <c r="Y1827" s="8">
        <f t="shared" si="464"/>
        <v>8.1804347826086961</v>
      </c>
    </row>
    <row r="1828" spans="1:25" x14ac:dyDescent="0.25">
      <c r="A1828" s="34">
        <f t="shared" si="472"/>
        <v>1820</v>
      </c>
      <c r="B1828" s="35" t="e">
        <f t="shared" si="472"/>
        <v>#REF!</v>
      </c>
      <c r="C1828" s="42" t="s">
        <v>450</v>
      </c>
      <c r="D1828" s="43">
        <v>63</v>
      </c>
      <c r="E1828" s="43">
        <v>1</v>
      </c>
      <c r="F1828" s="36">
        <v>0.115</v>
      </c>
      <c r="G1828" s="36">
        <f>F1828*0.197</f>
        <v>2.2655000000000002E-2</v>
      </c>
      <c r="H1828" s="36">
        <v>5.8500000000000003E-2</v>
      </c>
      <c r="I1828" s="37">
        <f>H1828*0.15</f>
        <v>8.7749999999999998E-3</v>
      </c>
      <c r="J1828" s="32">
        <f t="shared" si="462"/>
        <v>0.13016249999999999</v>
      </c>
      <c r="K1828" s="33">
        <f t="shared" si="465"/>
        <v>1.9524374999999997E-2</v>
      </c>
      <c r="L1828" s="52"/>
      <c r="O1828" s="2">
        <f t="shared" si="467"/>
        <v>2.4375000000000001E-2</v>
      </c>
      <c r="P1828" s="2">
        <f t="shared" si="468"/>
        <v>17.549999999999997</v>
      </c>
      <c r="Q1828" s="7">
        <f t="shared" si="469"/>
        <v>79.483695652173907</v>
      </c>
      <c r="R1828" s="2">
        <v>1.2</v>
      </c>
      <c r="S1828" s="2">
        <f t="shared" si="463"/>
        <v>4.45</v>
      </c>
      <c r="T1828" s="2"/>
      <c r="U1828" s="2"/>
      <c r="Y1828" s="8">
        <f t="shared" si="464"/>
        <v>2.8296195652173908</v>
      </c>
    </row>
    <row r="1829" spans="1:25" x14ac:dyDescent="0.25">
      <c r="A1829" s="34">
        <f t="shared" si="472"/>
        <v>1821</v>
      </c>
      <c r="B1829" s="35" t="e">
        <f t="shared" si="472"/>
        <v>#REF!</v>
      </c>
      <c r="C1829" s="42" t="s">
        <v>450</v>
      </c>
      <c r="D1829" s="43">
        <v>63</v>
      </c>
      <c r="E1829" s="43">
        <v>2</v>
      </c>
      <c r="F1829" s="36">
        <v>0.115</v>
      </c>
      <c r="G1829" s="36">
        <f>F1829*0.197</f>
        <v>2.2655000000000002E-2</v>
      </c>
      <c r="H1829" s="36">
        <v>5.8500000000000003E-2</v>
      </c>
      <c r="I1829" s="37">
        <f>H1829*0.15</f>
        <v>8.7749999999999998E-3</v>
      </c>
      <c r="J1829" s="32">
        <f t="shared" si="462"/>
        <v>0.13016249999999999</v>
      </c>
      <c r="K1829" s="33">
        <f t="shared" si="465"/>
        <v>1.9524374999999997E-2</v>
      </c>
      <c r="L1829" s="52"/>
      <c r="O1829" s="2">
        <f t="shared" si="467"/>
        <v>2.4375000000000001E-2</v>
      </c>
      <c r="P1829" s="2">
        <f t="shared" si="468"/>
        <v>17.549999999999997</v>
      </c>
      <c r="Q1829" s="7">
        <f t="shared" si="469"/>
        <v>79.483695652173907</v>
      </c>
      <c r="R1829" s="2">
        <v>1.2</v>
      </c>
      <c r="S1829" s="2">
        <f t="shared" si="463"/>
        <v>4.45</v>
      </c>
      <c r="T1829" s="2"/>
      <c r="U1829" s="2"/>
      <c r="Y1829" s="8">
        <f t="shared" si="464"/>
        <v>2.8296195652173908</v>
      </c>
    </row>
    <row r="1830" spans="1:25" x14ac:dyDescent="0.25">
      <c r="A1830" s="34">
        <f t="shared" si="472"/>
        <v>1822</v>
      </c>
      <c r="B1830" s="35" t="e">
        <f>B1829+1</f>
        <v>#REF!</v>
      </c>
      <c r="C1830" s="42" t="s">
        <v>450</v>
      </c>
      <c r="D1830" s="43">
        <v>64</v>
      </c>
      <c r="E1830" s="43"/>
      <c r="F1830" s="36">
        <v>9.0999999999999998E-2</v>
      </c>
      <c r="G1830" s="36">
        <f>F1830*0.197</f>
        <v>1.7927000000000002E-2</v>
      </c>
      <c r="H1830" s="36">
        <v>1.7000000000000001E-2</v>
      </c>
      <c r="I1830" s="37">
        <f>H1830*0.15</f>
        <v>2.5500000000000002E-3</v>
      </c>
      <c r="J1830" s="32">
        <f t="shared" si="462"/>
        <v>3.7825000000000004E-2</v>
      </c>
      <c r="K1830" s="33">
        <f t="shared" si="465"/>
        <v>5.6737500000000008E-3</v>
      </c>
      <c r="L1830" s="52"/>
      <c r="O1830" s="2">
        <f t="shared" si="467"/>
        <v>7.0833333333333338E-3</v>
      </c>
      <c r="P1830" s="2">
        <f t="shared" si="468"/>
        <v>5.1000000000000005</v>
      </c>
      <c r="Q1830" s="7">
        <f t="shared" si="469"/>
        <v>23.097826086956523</v>
      </c>
      <c r="R1830" s="2">
        <v>1.2</v>
      </c>
      <c r="S1830" s="2">
        <f t="shared" si="463"/>
        <v>4.45</v>
      </c>
      <c r="T1830" s="2"/>
      <c r="U1830" s="2"/>
      <c r="Y1830" s="8">
        <f t="shared" si="464"/>
        <v>0.82228260869565228</v>
      </c>
    </row>
    <row r="1831" spans="1:25" x14ac:dyDescent="0.25">
      <c r="A1831" s="34"/>
      <c r="L1831" s="54"/>
      <c r="T1831" s="2"/>
      <c r="U1831" s="2"/>
      <c r="Y1831" s="8">
        <f t="shared" si="464"/>
        <v>0</v>
      </c>
    </row>
    <row r="1832" spans="1:25" x14ac:dyDescent="0.25">
      <c r="A1832" s="116"/>
      <c r="B1832" s="55"/>
      <c r="C1832" s="110" t="s">
        <v>451</v>
      </c>
      <c r="D1832" s="97" t="s">
        <v>9</v>
      </c>
      <c r="E1832" s="97" t="s">
        <v>452</v>
      </c>
      <c r="F1832" s="93" t="s">
        <v>453</v>
      </c>
      <c r="G1832" s="93"/>
      <c r="H1832" s="93"/>
      <c r="I1832" s="93"/>
      <c r="J1832" s="93"/>
      <c r="K1832" s="93"/>
      <c r="L1832" s="52"/>
      <c r="T1832" s="2"/>
      <c r="U1832" s="2"/>
      <c r="Y1832" s="8">
        <f t="shared" si="464"/>
        <v>0</v>
      </c>
    </row>
    <row r="1833" spans="1:25" x14ac:dyDescent="0.25">
      <c r="A1833" s="117"/>
      <c r="B1833" s="55"/>
      <c r="C1833" s="94"/>
      <c r="D1833" s="98"/>
      <c r="E1833" s="98"/>
      <c r="F1833" s="93" t="s">
        <v>12</v>
      </c>
      <c r="G1833" s="93"/>
      <c r="H1833" s="93" t="s">
        <v>13</v>
      </c>
      <c r="I1833" s="93"/>
      <c r="J1833" s="93" t="s">
        <v>13</v>
      </c>
      <c r="K1833" s="93"/>
      <c r="L1833" s="52"/>
      <c r="T1833" s="2"/>
      <c r="U1833" s="2"/>
    </row>
    <row r="1834" spans="1:25" x14ac:dyDescent="0.25">
      <c r="A1834" s="118"/>
      <c r="B1834" s="55"/>
      <c r="C1834" s="94"/>
      <c r="D1834" s="99"/>
      <c r="E1834" s="99"/>
      <c r="F1834" s="56" t="s">
        <v>14</v>
      </c>
      <c r="G1834" s="56" t="s">
        <v>15</v>
      </c>
      <c r="H1834" s="56" t="s">
        <v>14</v>
      </c>
      <c r="I1834" s="56" t="s">
        <v>15</v>
      </c>
      <c r="J1834" s="56" t="s">
        <v>14</v>
      </c>
      <c r="K1834" s="56" t="s">
        <v>15</v>
      </c>
      <c r="L1834" s="52"/>
      <c r="M1834" s="15"/>
      <c r="T1834" s="2"/>
      <c r="U1834" s="2"/>
      <c r="Y1834" s="8" t="e">
        <f t="shared" ref="Y1834:Y1897" si="474">J1834/46*1000</f>
        <v>#VALUE!</v>
      </c>
    </row>
    <row r="1835" spans="1:25" x14ac:dyDescent="0.25">
      <c r="A1835" s="34">
        <v>1823</v>
      </c>
      <c r="C1835" s="57" t="s">
        <v>454</v>
      </c>
      <c r="D1835" s="43">
        <v>152</v>
      </c>
      <c r="E1835" s="43">
        <v>1</v>
      </c>
      <c r="F1835" s="36">
        <v>0.403752</v>
      </c>
      <c r="G1835" s="36">
        <f>F1835*0.197</f>
        <v>7.9539144000000006E-2</v>
      </c>
      <c r="H1835" s="36">
        <v>8.8688000000000003E-2</v>
      </c>
      <c r="I1835" s="36">
        <f>H1835*0.15</f>
        <v>1.3303199999999999E-2</v>
      </c>
      <c r="J1835" s="32">
        <f t="shared" ref="J1835:J1898" si="475">O1835*R1835*S1835</f>
        <v>0.1973308</v>
      </c>
      <c r="K1835" s="33">
        <f t="shared" si="465"/>
        <v>2.959962E-2</v>
      </c>
      <c r="L1835" s="52"/>
      <c r="O1835" s="2">
        <f t="shared" si="467"/>
        <v>3.6953333333333338E-2</v>
      </c>
      <c r="P1835" s="2">
        <f t="shared" si="468"/>
        <v>26.606400000000004</v>
      </c>
      <c r="Q1835" s="7">
        <f t="shared" si="469"/>
        <v>120.50000000000003</v>
      </c>
      <c r="R1835" s="2">
        <v>1.2</v>
      </c>
      <c r="S1835" s="2">
        <f t="shared" ref="S1835:S1898" si="476">IF(Q1835&lt;=$AE$6,$AF$6,IF(Q1835&lt;=$AE$7,$AF$7,IF(Q1835&lt;=$AE$8,$AF$8,IF(Q1835&lt;=$AE$9,$AF$9,IF(Q1835&lt;=$AE$10,$AF$10,0)))))</f>
        <v>4.45</v>
      </c>
      <c r="T1835" s="2"/>
      <c r="U1835" s="2"/>
      <c r="Y1835" s="8">
        <f t="shared" si="474"/>
        <v>4.2897999999999996</v>
      </c>
    </row>
    <row r="1836" spans="1:25" x14ac:dyDescent="0.25">
      <c r="A1836" s="34">
        <f>A1835+1</f>
        <v>1824</v>
      </c>
      <c r="C1836" s="57" t="s">
        <v>454</v>
      </c>
      <c r="D1836" s="34">
        <v>152</v>
      </c>
      <c r="E1836" s="34">
        <v>2</v>
      </c>
      <c r="F1836" s="36">
        <v>0.403752</v>
      </c>
      <c r="G1836" s="36">
        <f t="shared" ref="G1836:G1899" si="477">F1836*0.197</f>
        <v>7.9539144000000006E-2</v>
      </c>
      <c r="H1836" s="36">
        <v>8.8688000000000003E-2</v>
      </c>
      <c r="I1836" s="36">
        <f t="shared" ref="I1836:I1899" si="478">H1836*0.15</f>
        <v>1.3303199999999999E-2</v>
      </c>
      <c r="J1836" s="32">
        <f t="shared" si="475"/>
        <v>0.1973308</v>
      </c>
      <c r="K1836" s="33">
        <f t="shared" si="465"/>
        <v>2.959962E-2</v>
      </c>
      <c r="L1836" s="52"/>
      <c r="O1836" s="2">
        <f t="shared" si="467"/>
        <v>3.6953333333333338E-2</v>
      </c>
      <c r="P1836" s="2">
        <f t="shared" si="468"/>
        <v>26.606400000000004</v>
      </c>
      <c r="Q1836" s="7">
        <f t="shared" si="469"/>
        <v>120.50000000000003</v>
      </c>
      <c r="R1836" s="2">
        <v>1.2</v>
      </c>
      <c r="S1836" s="2">
        <f t="shared" si="476"/>
        <v>4.45</v>
      </c>
      <c r="T1836" s="2"/>
      <c r="U1836" s="2"/>
      <c r="Y1836" s="8">
        <f t="shared" si="474"/>
        <v>4.2897999999999996</v>
      </c>
    </row>
    <row r="1837" spans="1:25" x14ac:dyDescent="0.25">
      <c r="A1837" s="34">
        <f t="shared" ref="A1837:A1900" si="479">A1836+1</f>
        <v>1825</v>
      </c>
      <c r="C1837" s="57" t="s">
        <v>454</v>
      </c>
      <c r="D1837" s="43" t="s">
        <v>455</v>
      </c>
      <c r="E1837" s="43"/>
      <c r="F1837" s="36">
        <v>0.25396200000000002</v>
      </c>
      <c r="G1837" s="36">
        <f t="shared" si="477"/>
        <v>5.0030514000000005E-2</v>
      </c>
      <c r="H1837" s="36">
        <v>5.8141999999999999E-2</v>
      </c>
      <c r="I1837" s="36">
        <f t="shared" si="478"/>
        <v>8.7212999999999995E-3</v>
      </c>
      <c r="J1837" s="32">
        <f t="shared" si="475"/>
        <v>0.12936595000000001</v>
      </c>
      <c r="K1837" s="33">
        <f t="shared" si="465"/>
        <v>1.94048925E-2</v>
      </c>
      <c r="L1837" s="52"/>
      <c r="O1837" s="2">
        <f t="shared" si="467"/>
        <v>2.4225833333333335E-2</v>
      </c>
      <c r="P1837" s="2">
        <f t="shared" si="468"/>
        <v>17.442600000000002</v>
      </c>
      <c r="Q1837" s="7">
        <f t="shared" si="469"/>
        <v>78.99728260869567</v>
      </c>
      <c r="R1837" s="2">
        <v>1.2</v>
      </c>
      <c r="S1837" s="2">
        <f t="shared" si="476"/>
        <v>4.45</v>
      </c>
      <c r="T1837" s="2"/>
      <c r="U1837" s="2"/>
      <c r="Y1837" s="8">
        <f t="shared" si="474"/>
        <v>2.8123032608695655</v>
      </c>
    </row>
    <row r="1838" spans="1:25" x14ac:dyDescent="0.25">
      <c r="A1838" s="34">
        <f t="shared" si="479"/>
        <v>1826</v>
      </c>
      <c r="C1838" s="58" t="s">
        <v>456</v>
      </c>
      <c r="D1838" s="43">
        <v>240</v>
      </c>
      <c r="E1838" s="43"/>
      <c r="F1838" s="36">
        <v>0.27076299999999998</v>
      </c>
      <c r="G1838" s="36">
        <f t="shared" si="477"/>
        <v>5.3340310999999994E-2</v>
      </c>
      <c r="H1838" s="36">
        <v>7.5805999999999998E-2</v>
      </c>
      <c r="I1838" s="36">
        <f t="shared" si="478"/>
        <v>1.13709E-2</v>
      </c>
      <c r="J1838" s="32">
        <f t="shared" si="475"/>
        <v>0.16866834999999999</v>
      </c>
      <c r="K1838" s="33">
        <f t="shared" si="465"/>
        <v>2.5300252499999999E-2</v>
      </c>
      <c r="L1838" s="52"/>
      <c r="O1838" s="2">
        <f t="shared" si="467"/>
        <v>3.1585833333333334E-2</v>
      </c>
      <c r="P1838" s="2">
        <f t="shared" si="468"/>
        <v>22.741799999999998</v>
      </c>
      <c r="Q1838" s="7">
        <f t="shared" si="469"/>
        <v>102.99728260869564</v>
      </c>
      <c r="R1838" s="2">
        <v>1.2</v>
      </c>
      <c r="S1838" s="2">
        <f t="shared" si="476"/>
        <v>4.45</v>
      </c>
      <c r="T1838" s="2"/>
      <c r="U1838" s="2"/>
      <c r="Y1838" s="8">
        <f t="shared" si="474"/>
        <v>3.6667032608695651</v>
      </c>
    </row>
    <row r="1839" spans="1:25" x14ac:dyDescent="0.25">
      <c r="A1839" s="34">
        <f t="shared" si="479"/>
        <v>1827</v>
      </c>
      <c r="C1839" s="58" t="s">
        <v>456</v>
      </c>
      <c r="D1839" s="43">
        <v>245</v>
      </c>
      <c r="E1839" s="43"/>
      <c r="F1839" s="36">
        <v>0.227467</v>
      </c>
      <c r="G1839" s="36">
        <f t="shared" si="477"/>
        <v>4.4810999000000004E-2</v>
      </c>
      <c r="H1839" s="36">
        <v>4.6365999999999997E-2</v>
      </c>
      <c r="I1839" s="36">
        <f t="shared" si="478"/>
        <v>6.9548999999999991E-3</v>
      </c>
      <c r="J1839" s="32">
        <f t="shared" si="475"/>
        <v>0.10316435</v>
      </c>
      <c r="K1839" s="33">
        <f t="shared" si="465"/>
        <v>1.54746525E-2</v>
      </c>
      <c r="L1839" s="52"/>
      <c r="O1839" s="2">
        <f t="shared" si="467"/>
        <v>1.9319166666666665E-2</v>
      </c>
      <c r="P1839" s="2">
        <f t="shared" si="468"/>
        <v>13.909799999999999</v>
      </c>
      <c r="Q1839" s="7">
        <f t="shared" si="469"/>
        <v>62.997282608695649</v>
      </c>
      <c r="R1839" s="2">
        <v>1.2</v>
      </c>
      <c r="S1839" s="2">
        <f t="shared" si="476"/>
        <v>4.45</v>
      </c>
      <c r="T1839" s="2"/>
      <c r="U1839" s="2"/>
      <c r="Y1839" s="8">
        <f t="shared" si="474"/>
        <v>2.2427032608695652</v>
      </c>
    </row>
    <row r="1840" spans="1:25" x14ac:dyDescent="0.25">
      <c r="A1840" s="34">
        <f t="shared" si="479"/>
        <v>1828</v>
      </c>
      <c r="C1840" s="42" t="s">
        <v>456</v>
      </c>
      <c r="D1840" s="43">
        <v>288</v>
      </c>
      <c r="E1840" s="91">
        <v>1</v>
      </c>
      <c r="F1840" s="36">
        <v>0.209533</v>
      </c>
      <c r="G1840" s="36">
        <f t="shared" si="477"/>
        <v>4.1278001000000002E-2</v>
      </c>
      <c r="H1840" s="36">
        <v>2.5870000000000001E-2</v>
      </c>
      <c r="I1840" s="36">
        <f t="shared" si="478"/>
        <v>3.8804999999999998E-3</v>
      </c>
      <c r="J1840" s="32">
        <f t="shared" si="475"/>
        <v>5.7560750000000001E-2</v>
      </c>
      <c r="K1840" s="33">
        <f t="shared" si="465"/>
        <v>8.6341124999999991E-3</v>
      </c>
      <c r="L1840" s="52"/>
      <c r="O1840" s="2">
        <f t="shared" si="467"/>
        <v>1.0779166666666668E-2</v>
      </c>
      <c r="P1840" s="2">
        <f t="shared" si="468"/>
        <v>7.761000000000001</v>
      </c>
      <c r="Q1840" s="7">
        <f t="shared" si="469"/>
        <v>35.149456521739133</v>
      </c>
      <c r="R1840" s="2">
        <v>1.2</v>
      </c>
      <c r="S1840" s="2">
        <f t="shared" si="476"/>
        <v>4.45</v>
      </c>
      <c r="T1840" s="2"/>
      <c r="U1840" s="2"/>
      <c r="Y1840" s="8">
        <f t="shared" si="474"/>
        <v>1.2513206521739129</v>
      </c>
    </row>
    <row r="1841" spans="1:25" x14ac:dyDescent="0.25">
      <c r="A1841" s="34">
        <f t="shared" si="479"/>
        <v>1829</v>
      </c>
      <c r="C1841" s="42" t="s">
        <v>427</v>
      </c>
      <c r="D1841" s="43">
        <v>89</v>
      </c>
      <c r="E1841" s="92"/>
      <c r="F1841" s="36">
        <v>0.19503100000000001</v>
      </c>
      <c r="G1841" s="36">
        <f t="shared" si="477"/>
        <v>3.8421107000000003E-2</v>
      </c>
      <c r="H1841" s="36">
        <v>3.6670000000000001E-2</v>
      </c>
      <c r="I1841" s="36">
        <f t="shared" si="478"/>
        <v>5.5005000000000002E-3</v>
      </c>
      <c r="J1841" s="32">
        <f t="shared" si="475"/>
        <v>8.1590750000000004E-2</v>
      </c>
      <c r="K1841" s="33">
        <f t="shared" si="465"/>
        <v>1.2238612500000001E-2</v>
      </c>
      <c r="L1841" s="52"/>
      <c r="O1841" s="2">
        <f t="shared" si="467"/>
        <v>1.5279166666666668E-2</v>
      </c>
      <c r="P1841" s="2">
        <f t="shared" si="468"/>
        <v>11.001000000000001</v>
      </c>
      <c r="Q1841" s="7">
        <f t="shared" si="469"/>
        <v>49.823369565217398</v>
      </c>
      <c r="R1841" s="2">
        <v>1.2</v>
      </c>
      <c r="S1841" s="2">
        <f t="shared" si="476"/>
        <v>4.45</v>
      </c>
      <c r="T1841" s="2"/>
      <c r="U1841" s="2"/>
      <c r="Y1841" s="8">
        <f t="shared" si="474"/>
        <v>1.7737119565217392</v>
      </c>
    </row>
    <row r="1842" spans="1:25" x14ac:dyDescent="0.25">
      <c r="A1842" s="34">
        <f t="shared" si="479"/>
        <v>1830</v>
      </c>
      <c r="B1842" s="49">
        <v>421</v>
      </c>
      <c r="C1842" s="42" t="s">
        <v>456</v>
      </c>
      <c r="D1842" s="43" t="s">
        <v>457</v>
      </c>
      <c r="E1842" s="43"/>
      <c r="F1842" s="36">
        <v>0.168133</v>
      </c>
      <c r="G1842" s="36">
        <f t="shared" si="477"/>
        <v>3.3122201000000004E-2</v>
      </c>
      <c r="H1842" s="36">
        <v>4.1239999999999999E-2</v>
      </c>
      <c r="I1842" s="36">
        <f t="shared" si="478"/>
        <v>6.1859999999999997E-3</v>
      </c>
      <c r="J1842" s="32">
        <f t="shared" si="475"/>
        <v>9.1759000000000021E-2</v>
      </c>
      <c r="K1842" s="33">
        <f t="shared" si="465"/>
        <v>1.3763850000000003E-2</v>
      </c>
      <c r="L1842" s="52"/>
      <c r="O1842" s="2">
        <f t="shared" si="467"/>
        <v>1.7183333333333335E-2</v>
      </c>
      <c r="P1842" s="2">
        <f t="shared" si="468"/>
        <v>12.372000000000002</v>
      </c>
      <c r="Q1842" s="7">
        <f t="shared" si="469"/>
        <v>56.032608695652179</v>
      </c>
      <c r="R1842" s="2">
        <v>1.2</v>
      </c>
      <c r="S1842" s="2">
        <f t="shared" si="476"/>
        <v>4.45</v>
      </c>
      <c r="T1842" s="2"/>
      <c r="U1842" s="2"/>
      <c r="Y1842" s="8">
        <f t="shared" si="474"/>
        <v>1.9947608695652179</v>
      </c>
    </row>
    <row r="1843" spans="1:25" x14ac:dyDescent="0.25">
      <c r="A1843" s="34">
        <f t="shared" si="479"/>
        <v>1831</v>
      </c>
      <c r="B1843" s="49"/>
      <c r="C1843" s="57" t="s">
        <v>383</v>
      </c>
      <c r="D1843" s="43">
        <v>111</v>
      </c>
      <c r="E1843" s="43"/>
      <c r="F1843" s="36">
        <v>0.124708</v>
      </c>
      <c r="G1843" s="36">
        <f t="shared" si="477"/>
        <v>2.4567476000000001E-2</v>
      </c>
      <c r="H1843" s="36">
        <v>3.6589999999999998E-2</v>
      </c>
      <c r="I1843" s="36">
        <f t="shared" si="478"/>
        <v>5.4884999999999995E-3</v>
      </c>
      <c r="J1843" s="32">
        <f t="shared" si="475"/>
        <v>8.1412749999999992E-2</v>
      </c>
      <c r="K1843" s="33">
        <f t="shared" si="465"/>
        <v>1.2211912499999998E-2</v>
      </c>
      <c r="L1843" s="52"/>
      <c r="O1843" s="2">
        <f t="shared" si="467"/>
        <v>1.5245833333333333E-2</v>
      </c>
      <c r="P1843" s="2">
        <f t="shared" si="468"/>
        <v>10.977</v>
      </c>
      <c r="Q1843" s="7">
        <f t="shared" si="469"/>
        <v>49.714673913043484</v>
      </c>
      <c r="R1843" s="2">
        <v>1.2</v>
      </c>
      <c r="S1843" s="2">
        <f t="shared" si="476"/>
        <v>4.45</v>
      </c>
      <c r="T1843" s="2"/>
      <c r="U1843" s="2"/>
      <c r="Y1843" s="8">
        <f t="shared" si="474"/>
        <v>1.7698423913043477</v>
      </c>
    </row>
    <row r="1844" spans="1:25" x14ac:dyDescent="0.25">
      <c r="A1844" s="34">
        <f t="shared" si="479"/>
        <v>1832</v>
      </c>
      <c r="B1844" s="49"/>
      <c r="C1844" s="57" t="s">
        <v>383</v>
      </c>
      <c r="D1844" s="43">
        <v>115</v>
      </c>
      <c r="E1844" s="43"/>
      <c r="F1844" s="36">
        <v>0.24626200000000001</v>
      </c>
      <c r="G1844" s="36">
        <f t="shared" si="477"/>
        <v>4.8513614000000004E-2</v>
      </c>
      <c r="H1844" s="36">
        <v>3.108E-2</v>
      </c>
      <c r="I1844" s="36">
        <f t="shared" si="478"/>
        <v>4.6619999999999995E-3</v>
      </c>
      <c r="J1844" s="32">
        <f t="shared" si="475"/>
        <v>6.9152999999999992E-2</v>
      </c>
      <c r="K1844" s="33">
        <f t="shared" si="465"/>
        <v>1.0372949999999999E-2</v>
      </c>
      <c r="L1844" s="52"/>
      <c r="O1844" s="2">
        <f t="shared" si="467"/>
        <v>1.295E-2</v>
      </c>
      <c r="P1844" s="2">
        <f t="shared" si="468"/>
        <v>9.3239999999999981</v>
      </c>
      <c r="Q1844" s="7">
        <f t="shared" si="469"/>
        <v>42.228260869565212</v>
      </c>
      <c r="R1844" s="2">
        <v>1.2</v>
      </c>
      <c r="S1844" s="2">
        <f t="shared" si="476"/>
        <v>4.45</v>
      </c>
      <c r="T1844" s="2"/>
      <c r="U1844" s="2"/>
      <c r="Y1844" s="8">
        <f t="shared" si="474"/>
        <v>1.5033260869565215</v>
      </c>
    </row>
    <row r="1845" spans="1:25" x14ac:dyDescent="0.25">
      <c r="A1845" s="34">
        <f t="shared" si="479"/>
        <v>1833</v>
      </c>
      <c r="B1845" s="49"/>
      <c r="C1845" s="57" t="s">
        <v>383</v>
      </c>
      <c r="D1845" s="43">
        <v>133</v>
      </c>
      <c r="E1845" s="43"/>
      <c r="F1845" s="36">
        <v>9.6881999999999996E-2</v>
      </c>
      <c r="G1845" s="36">
        <f t="shared" si="477"/>
        <v>1.9085754E-2</v>
      </c>
      <c r="H1845" s="36">
        <v>5.9166999999999997E-2</v>
      </c>
      <c r="I1845" s="36">
        <f t="shared" si="478"/>
        <v>8.8750499999999989E-3</v>
      </c>
      <c r="J1845" s="32">
        <f t="shared" si="475"/>
        <v>0.13164657499999999</v>
      </c>
      <c r="K1845" s="33">
        <f t="shared" si="465"/>
        <v>1.9746986249999997E-2</v>
      </c>
      <c r="L1845" s="24" t="s">
        <v>16</v>
      </c>
      <c r="O1845" s="2">
        <f t="shared" si="467"/>
        <v>2.4652916666666667E-2</v>
      </c>
      <c r="P1845" s="2">
        <f t="shared" si="468"/>
        <v>17.7501</v>
      </c>
      <c r="Q1845" s="7">
        <f t="shared" si="469"/>
        <v>80.389945652173907</v>
      </c>
      <c r="R1845" s="2">
        <v>1.2</v>
      </c>
      <c r="S1845" s="2">
        <f t="shared" si="476"/>
        <v>4.45</v>
      </c>
      <c r="T1845" s="2"/>
      <c r="U1845" s="2"/>
      <c r="Y1845" s="8">
        <f t="shared" si="474"/>
        <v>2.8618820652173911</v>
      </c>
    </row>
    <row r="1846" spans="1:25" x14ac:dyDescent="0.25">
      <c r="A1846" s="34">
        <f t="shared" si="479"/>
        <v>1834</v>
      </c>
      <c r="B1846" s="49"/>
      <c r="C1846" s="57" t="s">
        <v>383</v>
      </c>
      <c r="D1846" s="43">
        <v>152</v>
      </c>
      <c r="E1846" s="43"/>
      <c r="F1846" s="36">
        <v>0.30759599999999998</v>
      </c>
      <c r="G1846" s="36">
        <f t="shared" si="477"/>
        <v>6.0596411999999995E-2</v>
      </c>
      <c r="H1846" s="36">
        <v>4.4826999999999999E-2</v>
      </c>
      <c r="I1846" s="36">
        <f t="shared" si="478"/>
        <v>6.7240499999999996E-3</v>
      </c>
      <c r="J1846" s="32">
        <f t="shared" si="475"/>
        <v>9.9740074999999997E-2</v>
      </c>
      <c r="K1846" s="33">
        <f t="shared" si="465"/>
        <v>1.496101125E-2</v>
      </c>
      <c r="L1846" s="52"/>
      <c r="O1846" s="2">
        <f t="shared" si="467"/>
        <v>1.8677916666666666E-2</v>
      </c>
      <c r="P1846" s="2">
        <f t="shared" si="468"/>
        <v>13.448099999999998</v>
      </c>
      <c r="Q1846" s="7">
        <f t="shared" si="469"/>
        <v>60.906249999999993</v>
      </c>
      <c r="R1846" s="2">
        <v>1.2</v>
      </c>
      <c r="S1846" s="2">
        <f t="shared" si="476"/>
        <v>4.45</v>
      </c>
      <c r="T1846" s="2"/>
      <c r="U1846" s="2"/>
      <c r="Y1846" s="8">
        <f t="shared" si="474"/>
        <v>2.1682625</v>
      </c>
    </row>
    <row r="1847" spans="1:25" x14ac:dyDescent="0.25">
      <c r="A1847" s="34">
        <f t="shared" si="479"/>
        <v>1835</v>
      </c>
      <c r="B1847" s="49"/>
      <c r="C1847" s="57" t="s">
        <v>383</v>
      </c>
      <c r="D1847" s="43">
        <v>162</v>
      </c>
      <c r="E1847" s="43"/>
      <c r="F1847" s="36">
        <v>0.131271</v>
      </c>
      <c r="G1847" s="36">
        <f t="shared" si="477"/>
        <v>2.5860387000000002E-2</v>
      </c>
      <c r="H1847" s="36">
        <v>3.7536E-2</v>
      </c>
      <c r="I1847" s="36">
        <f t="shared" si="478"/>
        <v>5.6303999999999998E-3</v>
      </c>
      <c r="J1847" s="32">
        <f t="shared" si="475"/>
        <v>8.3517599999999997E-2</v>
      </c>
      <c r="K1847" s="33">
        <f t="shared" si="465"/>
        <v>1.252764E-2</v>
      </c>
      <c r="L1847" s="52"/>
      <c r="O1847" s="2">
        <f t="shared" si="467"/>
        <v>1.5640000000000001E-2</v>
      </c>
      <c r="P1847" s="2">
        <f t="shared" si="468"/>
        <v>11.260800000000001</v>
      </c>
      <c r="Q1847" s="7">
        <f t="shared" si="469"/>
        <v>51.000000000000007</v>
      </c>
      <c r="R1847" s="2">
        <v>1.2</v>
      </c>
      <c r="S1847" s="2">
        <f t="shared" si="476"/>
        <v>4.45</v>
      </c>
      <c r="T1847" s="2"/>
      <c r="U1847" s="2"/>
      <c r="Y1847" s="8">
        <f t="shared" si="474"/>
        <v>1.8155999999999999</v>
      </c>
    </row>
    <row r="1848" spans="1:25" x14ac:dyDescent="0.25">
      <c r="A1848" s="34">
        <f t="shared" si="479"/>
        <v>1836</v>
      </c>
      <c r="C1848" s="57" t="s">
        <v>458</v>
      </c>
      <c r="D1848" s="43" t="s">
        <v>459</v>
      </c>
      <c r="E1848" s="43">
        <v>1</v>
      </c>
      <c r="F1848" s="36">
        <v>7.2474999999999998E-2</v>
      </c>
      <c r="G1848" s="36">
        <f t="shared" si="477"/>
        <v>1.4277575000000001E-2</v>
      </c>
      <c r="H1848" s="36">
        <v>5.1464999999999997E-2</v>
      </c>
      <c r="I1848" s="36">
        <f t="shared" si="478"/>
        <v>7.7197499999999992E-3</v>
      </c>
      <c r="J1848" s="32">
        <f t="shared" si="475"/>
        <v>0.11450962500000002</v>
      </c>
      <c r="K1848" s="33">
        <f t="shared" si="465"/>
        <v>1.7176443750000003E-2</v>
      </c>
      <c r="L1848" s="52"/>
      <c r="O1848" s="2">
        <f t="shared" si="467"/>
        <v>2.1443750000000001E-2</v>
      </c>
      <c r="P1848" s="2">
        <f t="shared" si="468"/>
        <v>15.439500000000002</v>
      </c>
      <c r="Q1848" s="7">
        <f t="shared" si="469"/>
        <v>69.925271739130451</v>
      </c>
      <c r="R1848" s="2">
        <v>1.2</v>
      </c>
      <c r="S1848" s="2">
        <f t="shared" si="476"/>
        <v>4.45</v>
      </c>
      <c r="T1848" s="2"/>
      <c r="U1848" s="2"/>
      <c r="Y1848" s="8">
        <f t="shared" si="474"/>
        <v>2.4893396739130438</v>
      </c>
    </row>
    <row r="1849" spans="1:25" x14ac:dyDescent="0.25">
      <c r="A1849" s="34">
        <f t="shared" si="479"/>
        <v>1837</v>
      </c>
      <c r="C1849" s="57" t="s">
        <v>458</v>
      </c>
      <c r="D1849" s="34" t="s">
        <v>459</v>
      </c>
      <c r="E1849" s="34">
        <v>2</v>
      </c>
      <c r="F1849" s="36">
        <v>7.2474999999999998E-2</v>
      </c>
      <c r="G1849" s="36">
        <f t="shared" si="477"/>
        <v>1.4277575000000001E-2</v>
      </c>
      <c r="H1849" s="36">
        <v>5.1464999999999997E-2</v>
      </c>
      <c r="I1849" s="36">
        <f t="shared" si="478"/>
        <v>7.7197499999999992E-3</v>
      </c>
      <c r="J1849" s="32">
        <f t="shared" si="475"/>
        <v>0.11450962500000002</v>
      </c>
      <c r="K1849" s="33">
        <f t="shared" si="465"/>
        <v>1.7176443750000003E-2</v>
      </c>
      <c r="L1849" s="52"/>
      <c r="O1849" s="2">
        <f t="shared" si="467"/>
        <v>2.1443750000000001E-2</v>
      </c>
      <c r="P1849" s="2">
        <f t="shared" si="468"/>
        <v>15.439500000000002</v>
      </c>
      <c r="Q1849" s="7">
        <f t="shared" si="469"/>
        <v>69.925271739130451</v>
      </c>
      <c r="R1849" s="2">
        <v>1.2</v>
      </c>
      <c r="S1849" s="2">
        <f t="shared" si="476"/>
        <v>4.45</v>
      </c>
      <c r="T1849" s="2"/>
      <c r="U1849" s="2"/>
      <c r="Y1849" s="8">
        <f t="shared" si="474"/>
        <v>2.4893396739130438</v>
      </c>
    </row>
    <row r="1850" spans="1:25" x14ac:dyDescent="0.25">
      <c r="A1850" s="34">
        <f t="shared" si="479"/>
        <v>1838</v>
      </c>
      <c r="C1850" s="57" t="s">
        <v>415</v>
      </c>
      <c r="D1850" s="43">
        <v>199</v>
      </c>
      <c r="E1850" s="49"/>
      <c r="F1850" s="36">
        <v>9.2321E-2</v>
      </c>
      <c r="G1850" s="36">
        <f t="shared" si="477"/>
        <v>1.8187237000000002E-2</v>
      </c>
      <c r="H1850" s="36">
        <v>2.869E-2</v>
      </c>
      <c r="I1850" s="36">
        <f t="shared" si="478"/>
        <v>4.3035E-3</v>
      </c>
      <c r="J1850" s="32">
        <f t="shared" si="475"/>
        <v>6.3835249999999996E-2</v>
      </c>
      <c r="K1850" s="33">
        <f t="shared" si="465"/>
        <v>9.5752874999999998E-3</v>
      </c>
      <c r="L1850" s="52"/>
      <c r="O1850" s="2">
        <f t="shared" si="467"/>
        <v>1.1954166666666667E-2</v>
      </c>
      <c r="P1850" s="2">
        <f t="shared" si="468"/>
        <v>8.6069999999999993</v>
      </c>
      <c r="Q1850" s="7">
        <f t="shared" si="469"/>
        <v>38.980978260869563</v>
      </c>
      <c r="R1850" s="2">
        <v>1.2</v>
      </c>
      <c r="S1850" s="2">
        <f t="shared" si="476"/>
        <v>4.45</v>
      </c>
      <c r="T1850" s="2"/>
      <c r="U1850" s="2"/>
      <c r="Y1850" s="8">
        <f t="shared" si="474"/>
        <v>1.3877228260869565</v>
      </c>
    </row>
    <row r="1851" spans="1:25" x14ac:dyDescent="0.25">
      <c r="A1851" s="34">
        <f t="shared" si="479"/>
        <v>1839</v>
      </c>
      <c r="B1851" s="34">
        <f>B1842+1</f>
        <v>422</v>
      </c>
      <c r="C1851" s="57" t="s">
        <v>415</v>
      </c>
      <c r="D1851" s="43">
        <v>227</v>
      </c>
      <c r="E1851" s="43"/>
      <c r="F1851" s="36">
        <v>9.5314999999999997E-2</v>
      </c>
      <c r="G1851" s="36">
        <f t="shared" si="477"/>
        <v>1.8777055000000001E-2</v>
      </c>
      <c r="H1851" s="36">
        <v>2.572E-2</v>
      </c>
      <c r="I1851" s="36">
        <f t="shared" si="478"/>
        <v>3.8579999999999999E-3</v>
      </c>
      <c r="J1851" s="32">
        <f t="shared" si="475"/>
        <v>5.7227000000000007E-2</v>
      </c>
      <c r="K1851" s="33">
        <f t="shared" si="465"/>
        <v>8.5840500000000011E-3</v>
      </c>
      <c r="L1851" s="52"/>
      <c r="O1851" s="2">
        <f t="shared" si="467"/>
        <v>1.0716666666666668E-2</v>
      </c>
      <c r="P1851" s="2">
        <f t="shared" si="468"/>
        <v>7.7160000000000011</v>
      </c>
      <c r="Q1851" s="7">
        <f t="shared" si="469"/>
        <v>34.945652173913047</v>
      </c>
      <c r="R1851" s="2">
        <v>1.2</v>
      </c>
      <c r="S1851" s="2">
        <f t="shared" si="476"/>
        <v>4.45</v>
      </c>
      <c r="T1851" s="2"/>
      <c r="U1851" s="2"/>
      <c r="Y1851" s="8">
        <f t="shared" si="474"/>
        <v>1.2440652173913045</v>
      </c>
    </row>
    <row r="1852" spans="1:25" x14ac:dyDescent="0.25">
      <c r="A1852" s="34">
        <f t="shared" si="479"/>
        <v>1840</v>
      </c>
      <c r="B1852" s="34"/>
      <c r="C1852" s="57" t="s">
        <v>460</v>
      </c>
      <c r="D1852" s="43">
        <v>5</v>
      </c>
      <c r="E1852" s="43"/>
      <c r="F1852" s="36">
        <v>0.147066</v>
      </c>
      <c r="G1852" s="36">
        <f t="shared" si="477"/>
        <v>2.8972002E-2</v>
      </c>
      <c r="H1852" s="36">
        <v>8.3790000000000003E-2</v>
      </c>
      <c r="I1852" s="36">
        <f t="shared" si="478"/>
        <v>1.25685E-2</v>
      </c>
      <c r="J1852" s="32">
        <f t="shared" si="475"/>
        <v>0.18643275000000004</v>
      </c>
      <c r="K1852" s="33">
        <f t="shared" si="465"/>
        <v>2.7964912500000005E-2</v>
      </c>
      <c r="L1852" s="52"/>
      <c r="O1852" s="2">
        <f t="shared" si="467"/>
        <v>3.4912500000000006E-2</v>
      </c>
      <c r="P1852" s="2">
        <f t="shared" si="468"/>
        <v>25.137000000000004</v>
      </c>
      <c r="Q1852" s="7">
        <f t="shared" si="469"/>
        <v>113.8451086956522</v>
      </c>
      <c r="R1852" s="2">
        <v>1.2</v>
      </c>
      <c r="S1852" s="2">
        <f t="shared" si="476"/>
        <v>4.45</v>
      </c>
      <c r="T1852" s="2"/>
      <c r="U1852" s="2"/>
      <c r="Y1852" s="8">
        <f t="shared" si="474"/>
        <v>4.0528858695652188</v>
      </c>
    </row>
    <row r="1853" spans="1:25" x14ac:dyDescent="0.25">
      <c r="A1853" s="34">
        <f t="shared" si="479"/>
        <v>1841</v>
      </c>
      <c r="B1853" s="34"/>
      <c r="C1853" s="57" t="s">
        <v>460</v>
      </c>
      <c r="D1853" s="43">
        <v>25</v>
      </c>
      <c r="E1853" s="43"/>
      <c r="F1853" s="36">
        <v>0.117516</v>
      </c>
      <c r="G1853" s="36">
        <f t="shared" si="477"/>
        <v>2.3150652000000001E-2</v>
      </c>
      <c r="H1853" s="36">
        <v>2.5759000000000001E-2</v>
      </c>
      <c r="I1853" s="36">
        <f t="shared" si="478"/>
        <v>3.8638499999999998E-3</v>
      </c>
      <c r="J1853" s="32">
        <f t="shared" si="475"/>
        <v>5.7313775000000004E-2</v>
      </c>
      <c r="K1853" s="33">
        <f t="shared" si="465"/>
        <v>8.5970662500000003E-3</v>
      </c>
      <c r="L1853" s="52"/>
      <c r="O1853" s="2">
        <f t="shared" si="467"/>
        <v>1.0732916666666667E-2</v>
      </c>
      <c r="P1853" s="2">
        <f t="shared" si="468"/>
        <v>7.7276999999999996</v>
      </c>
      <c r="Q1853" s="7">
        <f t="shared" si="469"/>
        <v>34.998641304347828</v>
      </c>
      <c r="R1853" s="2">
        <v>1.2</v>
      </c>
      <c r="S1853" s="2">
        <f t="shared" si="476"/>
        <v>4.45</v>
      </c>
      <c r="T1853" s="2"/>
      <c r="U1853" s="2"/>
      <c r="Y1853" s="8">
        <f t="shared" si="474"/>
        <v>1.2459516304347826</v>
      </c>
    </row>
    <row r="1854" spans="1:25" x14ac:dyDescent="0.25">
      <c r="A1854" s="34">
        <f t="shared" si="479"/>
        <v>1842</v>
      </c>
      <c r="B1854" s="34"/>
      <c r="C1854" s="57" t="s">
        <v>460</v>
      </c>
      <c r="D1854" s="43" t="s">
        <v>461</v>
      </c>
      <c r="E1854" s="43"/>
      <c r="F1854" s="36">
        <v>0.315494</v>
      </c>
      <c r="G1854" s="36">
        <f t="shared" si="477"/>
        <v>6.2152318000000005E-2</v>
      </c>
      <c r="H1854" s="36">
        <v>4.657E-2</v>
      </c>
      <c r="I1854" s="36">
        <f t="shared" si="478"/>
        <v>6.9854999999999995E-3</v>
      </c>
      <c r="J1854" s="32">
        <f t="shared" si="475"/>
        <v>0.10361825000000001</v>
      </c>
      <c r="K1854" s="33">
        <f t="shared" si="465"/>
        <v>1.5542737500000001E-2</v>
      </c>
      <c r="L1854" s="52"/>
      <c r="O1854" s="2">
        <f t="shared" si="467"/>
        <v>1.9404166666666667E-2</v>
      </c>
      <c r="P1854" s="2">
        <f t="shared" si="468"/>
        <v>13.971</v>
      </c>
      <c r="Q1854" s="7">
        <f t="shared" si="469"/>
        <v>63.274456521739133</v>
      </c>
      <c r="R1854" s="2">
        <v>1.2</v>
      </c>
      <c r="S1854" s="2">
        <f t="shared" si="476"/>
        <v>4.45</v>
      </c>
      <c r="T1854" s="2"/>
      <c r="U1854" s="2"/>
      <c r="Y1854" s="8">
        <f t="shared" si="474"/>
        <v>2.2525706521739131</v>
      </c>
    </row>
    <row r="1855" spans="1:25" x14ac:dyDescent="0.25">
      <c r="A1855" s="34">
        <f t="shared" si="479"/>
        <v>1843</v>
      </c>
      <c r="B1855" s="34"/>
      <c r="C1855" s="57" t="s">
        <v>460</v>
      </c>
      <c r="D1855" s="43" t="s">
        <v>462</v>
      </c>
      <c r="E1855" s="43"/>
      <c r="F1855" s="36">
        <v>0.31558000000000003</v>
      </c>
      <c r="G1855" s="36">
        <f t="shared" si="477"/>
        <v>6.2169260000000011E-2</v>
      </c>
      <c r="H1855" s="36">
        <v>5.1799999999999999E-2</v>
      </c>
      <c r="I1855" s="36">
        <f t="shared" si="478"/>
        <v>7.7699999999999991E-3</v>
      </c>
      <c r="J1855" s="32">
        <f t="shared" si="475"/>
        <v>0.115255</v>
      </c>
      <c r="K1855" s="33">
        <f t="shared" si="465"/>
        <v>1.7288249999999998E-2</v>
      </c>
      <c r="L1855" s="52"/>
      <c r="O1855" s="2">
        <f t="shared" si="467"/>
        <v>2.1583333333333333E-2</v>
      </c>
      <c r="P1855" s="2">
        <f t="shared" si="468"/>
        <v>15.540000000000001</v>
      </c>
      <c r="Q1855" s="7">
        <f t="shared" si="469"/>
        <v>70.380434782608702</v>
      </c>
      <c r="R1855" s="2">
        <v>1.2</v>
      </c>
      <c r="S1855" s="2">
        <f t="shared" si="476"/>
        <v>4.45</v>
      </c>
      <c r="T1855" s="2"/>
      <c r="U1855" s="2"/>
      <c r="Y1855" s="8">
        <f t="shared" si="474"/>
        <v>2.5055434782608694</v>
      </c>
    </row>
    <row r="1856" spans="1:25" x14ac:dyDescent="0.25">
      <c r="A1856" s="34">
        <f t="shared" si="479"/>
        <v>1844</v>
      </c>
      <c r="B1856" s="34"/>
      <c r="C1856" s="57" t="s">
        <v>460</v>
      </c>
      <c r="D1856" s="43">
        <v>39</v>
      </c>
      <c r="E1856" s="43"/>
      <c r="F1856" s="36">
        <v>0.120216</v>
      </c>
      <c r="G1856" s="36">
        <f t="shared" si="477"/>
        <v>2.3682552000000003E-2</v>
      </c>
      <c r="H1856" s="36">
        <v>5.6239999999999998E-2</v>
      </c>
      <c r="I1856" s="36">
        <f t="shared" si="478"/>
        <v>8.4359999999999991E-3</v>
      </c>
      <c r="J1856" s="32">
        <f t="shared" si="475"/>
        <v>0.125134</v>
      </c>
      <c r="K1856" s="33">
        <f t="shared" si="465"/>
        <v>1.8770099999999998E-2</v>
      </c>
      <c r="L1856" s="52"/>
      <c r="O1856" s="2">
        <f t="shared" si="467"/>
        <v>2.3433333333333334E-2</v>
      </c>
      <c r="P1856" s="2">
        <f t="shared" si="468"/>
        <v>16.872</v>
      </c>
      <c r="Q1856" s="7">
        <f t="shared" si="469"/>
        <v>76.413043478260875</v>
      </c>
      <c r="R1856" s="2">
        <v>1.2</v>
      </c>
      <c r="S1856" s="2">
        <f t="shared" si="476"/>
        <v>4.45</v>
      </c>
      <c r="T1856" s="2"/>
      <c r="U1856" s="2"/>
      <c r="Y1856" s="8">
        <f t="shared" si="474"/>
        <v>2.7203043478260867</v>
      </c>
    </row>
    <row r="1857" spans="1:25" ht="30" x14ac:dyDescent="0.25">
      <c r="A1857" s="34">
        <f t="shared" si="479"/>
        <v>1845</v>
      </c>
      <c r="B1857" s="34"/>
      <c r="C1857" s="57" t="s">
        <v>460</v>
      </c>
      <c r="D1857" s="43" t="s">
        <v>463</v>
      </c>
      <c r="E1857" s="43"/>
      <c r="F1857" s="36">
        <v>0.13508600000000001</v>
      </c>
      <c r="G1857" s="36">
        <f t="shared" si="477"/>
        <v>2.6611942000000003E-2</v>
      </c>
      <c r="H1857" s="36">
        <v>2.2783000000000001E-2</v>
      </c>
      <c r="I1857" s="36">
        <f t="shared" si="478"/>
        <v>3.4174500000000003E-3</v>
      </c>
      <c r="J1857" s="32">
        <f t="shared" si="475"/>
        <v>5.0692175000000006E-2</v>
      </c>
      <c r="K1857" s="33">
        <f t="shared" si="465"/>
        <v>7.6038262500000009E-3</v>
      </c>
      <c r="L1857" s="52"/>
      <c r="O1857" s="2">
        <f t="shared" si="467"/>
        <v>9.4929166666666669E-3</v>
      </c>
      <c r="P1857" s="2">
        <f t="shared" si="468"/>
        <v>6.8349000000000002</v>
      </c>
      <c r="Q1857" s="7">
        <f t="shared" si="469"/>
        <v>30.955163043478262</v>
      </c>
      <c r="R1857" s="2">
        <v>1.2</v>
      </c>
      <c r="S1857" s="2">
        <f t="shared" si="476"/>
        <v>4.45</v>
      </c>
      <c r="T1857" s="2"/>
      <c r="U1857" s="2"/>
      <c r="Y1857" s="8">
        <f t="shared" si="474"/>
        <v>1.1020038043478262</v>
      </c>
    </row>
    <row r="1858" spans="1:25" ht="30" x14ac:dyDescent="0.25">
      <c r="A1858" s="34">
        <f t="shared" si="479"/>
        <v>1846</v>
      </c>
      <c r="B1858" s="34"/>
      <c r="C1858" s="57" t="s">
        <v>460</v>
      </c>
      <c r="D1858" s="43" t="s">
        <v>464</v>
      </c>
      <c r="E1858" s="43"/>
      <c r="F1858" s="36">
        <v>0.16347200000000001</v>
      </c>
      <c r="G1858" s="36">
        <f t="shared" si="477"/>
        <v>3.2203984000000005E-2</v>
      </c>
      <c r="H1858" s="36">
        <v>4.0446999999999997E-2</v>
      </c>
      <c r="I1858" s="36">
        <f t="shared" si="478"/>
        <v>6.0670499999999992E-3</v>
      </c>
      <c r="J1858" s="32">
        <f t="shared" si="475"/>
        <v>8.9994574999999993E-2</v>
      </c>
      <c r="K1858" s="33">
        <f t="shared" si="465"/>
        <v>1.3499186249999998E-2</v>
      </c>
      <c r="L1858" s="52"/>
      <c r="O1858" s="2">
        <f t="shared" si="467"/>
        <v>1.6852916666666665E-2</v>
      </c>
      <c r="P1858" s="2">
        <f t="shared" si="468"/>
        <v>12.1341</v>
      </c>
      <c r="Q1858" s="7">
        <f t="shared" si="469"/>
        <v>54.955163043478265</v>
      </c>
      <c r="R1858" s="2">
        <v>1.2</v>
      </c>
      <c r="S1858" s="2">
        <f t="shared" si="476"/>
        <v>4.45</v>
      </c>
      <c r="T1858" s="2"/>
      <c r="U1858" s="2"/>
      <c r="Y1858" s="8">
        <f t="shared" si="474"/>
        <v>1.956403804347826</v>
      </c>
    </row>
    <row r="1859" spans="1:25" x14ac:dyDescent="0.25">
      <c r="A1859" s="34">
        <f t="shared" si="479"/>
        <v>1847</v>
      </c>
      <c r="B1859" s="34"/>
      <c r="C1859" s="57" t="s">
        <v>460</v>
      </c>
      <c r="D1859" s="43">
        <v>98</v>
      </c>
      <c r="E1859" s="43"/>
      <c r="F1859" s="36">
        <v>0.23769699999999999</v>
      </c>
      <c r="G1859" s="36">
        <f t="shared" si="477"/>
        <v>4.6826309000000003E-2</v>
      </c>
      <c r="H1859" s="36">
        <v>6.4766000000000004E-2</v>
      </c>
      <c r="I1859" s="36">
        <f t="shared" si="478"/>
        <v>9.7149000000000003E-3</v>
      </c>
      <c r="J1859" s="32">
        <f t="shared" si="475"/>
        <v>0.14410435000000002</v>
      </c>
      <c r="K1859" s="33">
        <f t="shared" si="465"/>
        <v>2.1615652500000002E-2</v>
      </c>
      <c r="L1859" s="24" t="s">
        <v>16</v>
      </c>
      <c r="O1859" s="2">
        <f t="shared" si="467"/>
        <v>2.6985833333333337E-2</v>
      </c>
      <c r="P1859" s="2">
        <f t="shared" si="468"/>
        <v>19.429800000000004</v>
      </c>
      <c r="Q1859" s="7">
        <f t="shared" si="469"/>
        <v>87.99728260869567</v>
      </c>
      <c r="R1859" s="2">
        <v>1.2</v>
      </c>
      <c r="S1859" s="2">
        <f t="shared" si="476"/>
        <v>4.45</v>
      </c>
      <c r="T1859" s="2"/>
      <c r="U1859" s="2"/>
      <c r="Y1859" s="8">
        <f t="shared" si="474"/>
        <v>3.1327032608695657</v>
      </c>
    </row>
    <row r="1860" spans="1:25" x14ac:dyDescent="0.25">
      <c r="A1860" s="34">
        <f t="shared" si="479"/>
        <v>1848</v>
      </c>
      <c r="B1860" s="34"/>
      <c r="C1860" s="57" t="s">
        <v>460</v>
      </c>
      <c r="D1860" s="43" t="s">
        <v>271</v>
      </c>
      <c r="E1860" s="49"/>
      <c r="F1860" s="36">
        <v>0.23347799999999999</v>
      </c>
      <c r="G1860" s="36">
        <f t="shared" si="477"/>
        <v>4.5995165999999997E-2</v>
      </c>
      <c r="H1860" s="36">
        <v>8.9502999999999999E-2</v>
      </c>
      <c r="I1860" s="36">
        <f t="shared" si="478"/>
        <v>1.342545E-2</v>
      </c>
      <c r="J1860" s="32">
        <f t="shared" si="475"/>
        <v>0.19914417500000001</v>
      </c>
      <c r="K1860" s="33">
        <f t="shared" si="465"/>
        <v>2.9871626249999998E-2</v>
      </c>
      <c r="L1860" s="52"/>
      <c r="O1860" s="2">
        <f t="shared" si="467"/>
        <v>3.7292916666666669E-2</v>
      </c>
      <c r="P1860" s="2">
        <f t="shared" si="468"/>
        <v>26.850899999999999</v>
      </c>
      <c r="Q1860" s="7">
        <f t="shared" si="469"/>
        <v>121.60733695652173</v>
      </c>
      <c r="R1860" s="2">
        <v>1.2</v>
      </c>
      <c r="S1860" s="2">
        <f t="shared" si="476"/>
        <v>4.45</v>
      </c>
      <c r="T1860" s="2"/>
      <c r="U1860" s="2"/>
      <c r="Y1860" s="8">
        <f t="shared" si="474"/>
        <v>4.329221195652174</v>
      </c>
    </row>
    <row r="1861" spans="1:25" x14ac:dyDescent="0.25">
      <c r="A1861" s="34">
        <f t="shared" si="479"/>
        <v>1849</v>
      </c>
      <c r="B1861" s="34"/>
      <c r="C1861" s="57" t="s">
        <v>460</v>
      </c>
      <c r="D1861" s="43" t="s">
        <v>260</v>
      </c>
      <c r="E1861" s="49"/>
      <c r="F1861" s="36">
        <v>0.33325399999999999</v>
      </c>
      <c r="G1861" s="36">
        <f t="shared" si="477"/>
        <v>6.5651037999999995E-2</v>
      </c>
      <c r="H1861" s="36">
        <v>5.1520999999999997E-2</v>
      </c>
      <c r="I1861" s="36">
        <f t="shared" si="478"/>
        <v>7.7281499999999996E-3</v>
      </c>
      <c r="J1861" s="32">
        <f t="shared" si="475"/>
        <v>0.11463422500000002</v>
      </c>
      <c r="K1861" s="33">
        <f t="shared" si="465"/>
        <v>1.7195133750000001E-2</v>
      </c>
      <c r="L1861" s="52"/>
      <c r="O1861" s="2">
        <f t="shared" si="467"/>
        <v>2.1467083333333335E-2</v>
      </c>
      <c r="P1861" s="2">
        <f t="shared" si="468"/>
        <v>15.456300000000002</v>
      </c>
      <c r="Q1861" s="7">
        <f t="shared" si="469"/>
        <v>70.001358695652186</v>
      </c>
      <c r="R1861" s="2">
        <v>1.2</v>
      </c>
      <c r="S1861" s="2">
        <f t="shared" si="476"/>
        <v>4.45</v>
      </c>
      <c r="T1861" s="2"/>
      <c r="U1861" s="2"/>
      <c r="Y1861" s="8">
        <f t="shared" si="474"/>
        <v>2.492048369565218</v>
      </c>
    </row>
    <row r="1862" spans="1:25" x14ac:dyDescent="0.25">
      <c r="A1862" s="34">
        <f t="shared" si="479"/>
        <v>1850</v>
      </c>
      <c r="B1862" s="34"/>
      <c r="C1862" s="57" t="s">
        <v>460</v>
      </c>
      <c r="D1862" s="43">
        <v>117</v>
      </c>
      <c r="E1862" s="43"/>
      <c r="F1862" s="36">
        <v>0.250274</v>
      </c>
      <c r="G1862" s="36">
        <f t="shared" si="477"/>
        <v>4.9303977999999998E-2</v>
      </c>
      <c r="H1862" s="36">
        <v>3.9960000000000002E-2</v>
      </c>
      <c r="I1862" s="36">
        <f t="shared" si="478"/>
        <v>5.9940000000000002E-3</v>
      </c>
      <c r="J1862" s="32">
        <f t="shared" si="475"/>
        <v>8.8911000000000004E-2</v>
      </c>
      <c r="K1862" s="33">
        <f t="shared" si="465"/>
        <v>1.333665E-2</v>
      </c>
      <c r="L1862" s="52"/>
      <c r="O1862" s="2">
        <f t="shared" si="467"/>
        <v>1.6650000000000002E-2</v>
      </c>
      <c r="P1862" s="2">
        <f t="shared" si="468"/>
        <v>11.988000000000001</v>
      </c>
      <c r="Q1862" s="7">
        <f t="shared" si="469"/>
        <v>54.29347826086957</v>
      </c>
      <c r="R1862" s="2">
        <v>1.2</v>
      </c>
      <c r="S1862" s="2">
        <f t="shared" si="476"/>
        <v>4.45</v>
      </c>
      <c r="T1862" s="2"/>
      <c r="U1862" s="2"/>
      <c r="Y1862" s="8">
        <f t="shared" si="474"/>
        <v>1.9328478260869566</v>
      </c>
    </row>
    <row r="1863" spans="1:25" x14ac:dyDescent="0.25">
      <c r="A1863" s="34">
        <f t="shared" si="479"/>
        <v>1851</v>
      </c>
      <c r="B1863" s="34"/>
      <c r="C1863" s="57" t="s">
        <v>460</v>
      </c>
      <c r="D1863" s="43">
        <v>118</v>
      </c>
      <c r="E1863" s="43"/>
      <c r="F1863" s="36">
        <v>0.22495399999999999</v>
      </c>
      <c r="G1863" s="36">
        <f t="shared" si="477"/>
        <v>4.4315937999999999E-2</v>
      </c>
      <c r="H1863" s="36">
        <v>7.4279999999999999E-2</v>
      </c>
      <c r="I1863" s="36">
        <f t="shared" si="478"/>
        <v>1.1141999999999999E-2</v>
      </c>
      <c r="J1863" s="32">
        <f t="shared" si="475"/>
        <v>0.165273</v>
      </c>
      <c r="K1863" s="33">
        <f t="shared" si="465"/>
        <v>2.4790949999999999E-2</v>
      </c>
      <c r="L1863" s="52"/>
      <c r="O1863" s="2">
        <f t="shared" si="467"/>
        <v>3.0950000000000002E-2</v>
      </c>
      <c r="P1863" s="2">
        <f t="shared" si="468"/>
        <v>22.283999999999999</v>
      </c>
      <c r="Q1863" s="7">
        <f t="shared" si="469"/>
        <v>100.92391304347825</v>
      </c>
      <c r="R1863" s="2">
        <v>1.2</v>
      </c>
      <c r="S1863" s="2">
        <f t="shared" si="476"/>
        <v>4.45</v>
      </c>
      <c r="T1863" s="2"/>
      <c r="U1863" s="2"/>
      <c r="Y1863" s="8">
        <f t="shared" si="474"/>
        <v>3.5928913043478259</v>
      </c>
    </row>
    <row r="1864" spans="1:25" x14ac:dyDescent="0.25">
      <c r="A1864" s="34">
        <f t="shared" si="479"/>
        <v>1852</v>
      </c>
      <c r="B1864" s="34"/>
      <c r="C1864" s="57" t="s">
        <v>465</v>
      </c>
      <c r="D1864" s="43">
        <v>13</v>
      </c>
      <c r="E1864" s="43"/>
      <c r="F1864" s="36">
        <v>0.226521</v>
      </c>
      <c r="G1864" s="36">
        <f t="shared" si="477"/>
        <v>4.4624637000000002E-2</v>
      </c>
      <c r="H1864" s="36">
        <v>5.7369999999999997E-2</v>
      </c>
      <c r="I1864" s="36">
        <f t="shared" si="478"/>
        <v>8.6054999999999986E-3</v>
      </c>
      <c r="J1864" s="32">
        <f t="shared" si="475"/>
        <v>0.12764824999999999</v>
      </c>
      <c r="K1864" s="33">
        <f t="shared" si="465"/>
        <v>1.9147237499999997E-2</v>
      </c>
      <c r="L1864" s="52"/>
      <c r="O1864" s="2">
        <f t="shared" si="467"/>
        <v>2.3904166666666667E-2</v>
      </c>
      <c r="P1864" s="2">
        <f t="shared" si="468"/>
        <v>17.210999999999999</v>
      </c>
      <c r="Q1864" s="7">
        <f t="shared" si="469"/>
        <v>77.948369565217391</v>
      </c>
      <c r="R1864" s="2">
        <v>1.2</v>
      </c>
      <c r="S1864" s="2">
        <f t="shared" si="476"/>
        <v>4.45</v>
      </c>
      <c r="T1864" s="2"/>
      <c r="U1864" s="2"/>
      <c r="Y1864" s="8">
        <f t="shared" si="474"/>
        <v>2.7749619565217389</v>
      </c>
    </row>
    <row r="1865" spans="1:25" x14ac:dyDescent="0.25">
      <c r="A1865" s="34">
        <f t="shared" si="479"/>
        <v>1853</v>
      </c>
      <c r="B1865" s="34"/>
      <c r="C1865" s="57" t="s">
        <v>465</v>
      </c>
      <c r="D1865" s="43" t="s">
        <v>377</v>
      </c>
      <c r="E1865" s="43"/>
      <c r="F1865" s="36">
        <v>0.19495299999999999</v>
      </c>
      <c r="G1865" s="36">
        <f t="shared" si="477"/>
        <v>3.8405741E-2</v>
      </c>
      <c r="H1865" s="36">
        <v>5.815E-2</v>
      </c>
      <c r="I1865" s="36">
        <f t="shared" si="478"/>
        <v>8.7224999999999994E-3</v>
      </c>
      <c r="J1865" s="32">
        <f t="shared" si="475"/>
        <v>0.12938374999999999</v>
      </c>
      <c r="K1865" s="33">
        <f t="shared" si="465"/>
        <v>1.9407562499999999E-2</v>
      </c>
      <c r="L1865" s="52"/>
      <c r="O1865" s="2">
        <f t="shared" si="467"/>
        <v>2.4229166666666666E-2</v>
      </c>
      <c r="P1865" s="2">
        <f t="shared" si="468"/>
        <v>17.445</v>
      </c>
      <c r="Q1865" s="7">
        <f t="shared" si="469"/>
        <v>79.008152173913047</v>
      </c>
      <c r="R1865" s="2">
        <v>1.2</v>
      </c>
      <c r="S1865" s="2">
        <f t="shared" si="476"/>
        <v>4.45</v>
      </c>
      <c r="T1865" s="2"/>
      <c r="U1865" s="2"/>
      <c r="Y1865" s="8">
        <f t="shared" si="474"/>
        <v>2.8126902173913044</v>
      </c>
    </row>
    <row r="1866" spans="1:25" x14ac:dyDescent="0.25">
      <c r="A1866" s="34">
        <f t="shared" si="479"/>
        <v>1854</v>
      </c>
      <c r="B1866" s="34"/>
      <c r="C1866" s="57" t="s">
        <v>384</v>
      </c>
      <c r="D1866" s="43">
        <v>80</v>
      </c>
      <c r="E1866" s="43"/>
      <c r="F1866" s="36">
        <v>0.28972100000000001</v>
      </c>
      <c r="G1866" s="36">
        <f t="shared" si="477"/>
        <v>5.7075037000000002E-2</v>
      </c>
      <c r="H1866" s="36">
        <v>5.4462999999999998E-2</v>
      </c>
      <c r="I1866" s="36">
        <f t="shared" si="478"/>
        <v>8.16945E-3</v>
      </c>
      <c r="J1866" s="32">
        <f t="shared" si="475"/>
        <v>0.121180175</v>
      </c>
      <c r="K1866" s="33">
        <f t="shared" si="465"/>
        <v>1.8177026249999999E-2</v>
      </c>
      <c r="L1866" s="52"/>
      <c r="O1866" s="2">
        <f t="shared" si="467"/>
        <v>2.2692916666666667E-2</v>
      </c>
      <c r="P1866" s="2">
        <f t="shared" si="468"/>
        <v>16.338899999999999</v>
      </c>
      <c r="Q1866" s="7">
        <f t="shared" si="469"/>
        <v>73.998641304347828</v>
      </c>
      <c r="R1866" s="2">
        <v>1.2</v>
      </c>
      <c r="S1866" s="2">
        <f t="shared" si="476"/>
        <v>4.45</v>
      </c>
      <c r="T1866" s="2"/>
      <c r="U1866" s="2"/>
      <c r="Y1866" s="8">
        <f t="shared" si="474"/>
        <v>2.6343516304347827</v>
      </c>
    </row>
    <row r="1867" spans="1:25" ht="30" x14ac:dyDescent="0.25">
      <c r="A1867" s="34">
        <f t="shared" si="479"/>
        <v>1855</v>
      </c>
      <c r="B1867" s="34"/>
      <c r="C1867" s="57" t="s">
        <v>384</v>
      </c>
      <c r="D1867" s="43" t="s">
        <v>466</v>
      </c>
      <c r="E1867" s="43"/>
      <c r="F1867" s="36">
        <v>0.41545900000000002</v>
      </c>
      <c r="G1867" s="36">
        <f t="shared" si="477"/>
        <v>8.1845423000000014E-2</v>
      </c>
      <c r="H1867" s="36">
        <v>0.11672</v>
      </c>
      <c r="I1867" s="36">
        <f t="shared" si="478"/>
        <v>1.7507999999999999E-2</v>
      </c>
      <c r="J1867" s="32">
        <f t="shared" si="475"/>
        <v>0.21593199999999999</v>
      </c>
      <c r="K1867" s="33">
        <f t="shared" ref="K1867:K1930" si="480">J1867*0.15</f>
        <v>3.2389799999999996E-2</v>
      </c>
      <c r="L1867" s="52"/>
      <c r="O1867" s="2">
        <f t="shared" si="467"/>
        <v>4.8633333333333334E-2</v>
      </c>
      <c r="P1867" s="2">
        <f t="shared" si="468"/>
        <v>35.015999999999998</v>
      </c>
      <c r="Q1867" s="7">
        <f t="shared" si="469"/>
        <v>158.58695652173913</v>
      </c>
      <c r="R1867" s="2">
        <v>1.2</v>
      </c>
      <c r="S1867" s="2">
        <f t="shared" si="476"/>
        <v>3.7</v>
      </c>
      <c r="T1867" s="2"/>
      <c r="U1867" s="2"/>
      <c r="Y1867" s="8">
        <f t="shared" si="474"/>
        <v>4.6941739130434783</v>
      </c>
    </row>
    <row r="1868" spans="1:25" ht="30" x14ac:dyDescent="0.25">
      <c r="A1868" s="34">
        <f t="shared" si="479"/>
        <v>1856</v>
      </c>
      <c r="B1868" s="34"/>
      <c r="C1868" s="57" t="s">
        <v>384</v>
      </c>
      <c r="D1868" s="43" t="s">
        <v>467</v>
      </c>
      <c r="E1868" s="43"/>
      <c r="F1868" s="36">
        <v>0.31730199999999997</v>
      </c>
      <c r="G1868" s="36">
        <f t="shared" si="477"/>
        <v>6.2508493999999998E-2</v>
      </c>
      <c r="H1868" s="36">
        <v>9.3969999999999998E-2</v>
      </c>
      <c r="I1868" s="36">
        <f t="shared" si="478"/>
        <v>1.4095499999999999E-2</v>
      </c>
      <c r="J1868" s="32">
        <f t="shared" si="475"/>
        <v>0.20908325000000003</v>
      </c>
      <c r="K1868" s="33">
        <f t="shared" si="480"/>
        <v>3.1362487500000001E-2</v>
      </c>
      <c r="L1868" s="52"/>
      <c r="O1868" s="2">
        <f t="shared" ref="O1868:O1931" si="481">H1868/2.4</f>
        <v>3.915416666666667E-2</v>
      </c>
      <c r="P1868" s="2">
        <f t="shared" ref="P1868:P1931" si="482">O1868*24*30</f>
        <v>28.191000000000003</v>
      </c>
      <c r="Q1868" s="7">
        <f t="shared" ref="Q1868:Q1931" si="483">P1868/0.2208</f>
        <v>127.67663043478262</v>
      </c>
      <c r="R1868" s="2">
        <v>1.2</v>
      </c>
      <c r="S1868" s="2">
        <f t="shared" si="476"/>
        <v>4.45</v>
      </c>
      <c r="T1868" s="2"/>
      <c r="U1868" s="2"/>
      <c r="Y1868" s="8">
        <f t="shared" si="474"/>
        <v>4.5452880434782612</v>
      </c>
    </row>
    <row r="1869" spans="1:25" ht="30" x14ac:dyDescent="0.25">
      <c r="A1869" s="34">
        <f t="shared" si="479"/>
        <v>1857</v>
      </c>
      <c r="B1869" s="34"/>
      <c r="C1869" s="57" t="s">
        <v>384</v>
      </c>
      <c r="D1869" s="43" t="s">
        <v>468</v>
      </c>
      <c r="E1869" s="43"/>
      <c r="F1869" s="36">
        <v>0.120338</v>
      </c>
      <c r="G1869" s="36">
        <f t="shared" si="477"/>
        <v>2.3706586000000002E-2</v>
      </c>
      <c r="H1869" s="36">
        <v>6.6869999999999999E-2</v>
      </c>
      <c r="I1869" s="36">
        <f t="shared" si="478"/>
        <v>1.0030499999999999E-2</v>
      </c>
      <c r="J1869" s="32">
        <f t="shared" si="475"/>
        <v>0.14878574999999999</v>
      </c>
      <c r="K1869" s="33">
        <f t="shared" si="480"/>
        <v>2.2317862499999997E-2</v>
      </c>
      <c r="L1869" s="52"/>
      <c r="O1869" s="2">
        <f t="shared" si="481"/>
        <v>2.7862500000000002E-2</v>
      </c>
      <c r="P1869" s="2">
        <f t="shared" si="482"/>
        <v>20.061000000000003</v>
      </c>
      <c r="Q1869" s="7">
        <f t="shared" si="483"/>
        <v>90.855978260869577</v>
      </c>
      <c r="R1869" s="2">
        <v>1.2</v>
      </c>
      <c r="S1869" s="2">
        <f t="shared" si="476"/>
        <v>4.45</v>
      </c>
      <c r="T1869" s="2"/>
      <c r="U1869" s="2"/>
      <c r="Y1869" s="8">
        <f t="shared" si="474"/>
        <v>3.2344728260869564</v>
      </c>
    </row>
    <row r="1870" spans="1:25" x14ac:dyDescent="0.25">
      <c r="A1870" s="34">
        <f t="shared" si="479"/>
        <v>1858</v>
      </c>
      <c r="B1870" s="34"/>
      <c r="C1870" s="57" t="s">
        <v>384</v>
      </c>
      <c r="D1870" s="43">
        <v>190</v>
      </c>
      <c r="E1870" s="43"/>
      <c r="F1870" s="36">
        <v>0.12748899999999999</v>
      </c>
      <c r="G1870" s="36">
        <f t="shared" si="477"/>
        <v>2.5115333E-2</v>
      </c>
      <c r="H1870" s="36">
        <v>1.7749999999999998E-2</v>
      </c>
      <c r="I1870" s="36">
        <f t="shared" si="478"/>
        <v>2.6624999999999995E-3</v>
      </c>
      <c r="J1870" s="32">
        <f t="shared" si="475"/>
        <v>3.9493750000000001E-2</v>
      </c>
      <c r="K1870" s="33">
        <f t="shared" si="480"/>
        <v>5.9240624999999996E-3</v>
      </c>
      <c r="L1870" s="52"/>
      <c r="O1870" s="2">
        <f t="shared" si="481"/>
        <v>7.3958333333333333E-3</v>
      </c>
      <c r="P1870" s="2">
        <f t="shared" si="482"/>
        <v>5.3249999999999993</v>
      </c>
      <c r="Q1870" s="7">
        <f t="shared" si="483"/>
        <v>24.116847826086953</v>
      </c>
      <c r="R1870" s="2">
        <v>1.2</v>
      </c>
      <c r="S1870" s="2">
        <f t="shared" si="476"/>
        <v>4.45</v>
      </c>
      <c r="T1870" s="2"/>
      <c r="U1870" s="2"/>
      <c r="Y1870" s="8">
        <f t="shared" si="474"/>
        <v>0.8585597826086957</v>
      </c>
    </row>
    <row r="1871" spans="1:25" x14ac:dyDescent="0.25">
      <c r="A1871" s="34">
        <f t="shared" si="479"/>
        <v>1859</v>
      </c>
      <c r="B1871" s="34"/>
      <c r="C1871" s="57" t="s">
        <v>425</v>
      </c>
      <c r="D1871" s="43">
        <v>64</v>
      </c>
      <c r="E1871" s="43"/>
      <c r="F1871" s="36">
        <v>0.143238</v>
      </c>
      <c r="G1871" s="36">
        <f t="shared" si="477"/>
        <v>2.8217886000000001E-2</v>
      </c>
      <c r="H1871" s="36">
        <v>1.924E-2</v>
      </c>
      <c r="I1871" s="36">
        <f t="shared" si="478"/>
        <v>2.8860000000000001E-3</v>
      </c>
      <c r="J1871" s="32">
        <f t="shared" si="475"/>
        <v>4.2809E-2</v>
      </c>
      <c r="K1871" s="33">
        <f t="shared" si="480"/>
        <v>6.4213500000000001E-3</v>
      </c>
      <c r="L1871" s="52"/>
      <c r="O1871" s="2">
        <f t="shared" si="481"/>
        <v>8.0166666666666667E-3</v>
      </c>
      <c r="P1871" s="2">
        <f t="shared" si="482"/>
        <v>5.7720000000000002</v>
      </c>
      <c r="Q1871" s="7">
        <f t="shared" si="483"/>
        <v>26.14130434782609</v>
      </c>
      <c r="R1871" s="2">
        <v>1.2</v>
      </c>
      <c r="S1871" s="2">
        <f t="shared" si="476"/>
        <v>4.45</v>
      </c>
      <c r="T1871" s="2"/>
      <c r="U1871" s="2"/>
      <c r="Y1871" s="8">
        <f t="shared" si="474"/>
        <v>0.93063043478260865</v>
      </c>
    </row>
    <row r="1872" spans="1:25" x14ac:dyDescent="0.25">
      <c r="A1872" s="34">
        <f t="shared" si="479"/>
        <v>1860</v>
      </c>
      <c r="B1872" s="34"/>
      <c r="C1872" s="57" t="s">
        <v>425</v>
      </c>
      <c r="D1872" s="43">
        <v>66</v>
      </c>
      <c r="E1872" s="43"/>
      <c r="F1872" s="36">
        <v>0.13045899999999999</v>
      </c>
      <c r="G1872" s="36">
        <f t="shared" si="477"/>
        <v>2.5700423E-2</v>
      </c>
      <c r="H1872" s="36">
        <v>5.2200000000000003E-2</v>
      </c>
      <c r="I1872" s="36">
        <f t="shared" si="478"/>
        <v>7.8300000000000002E-3</v>
      </c>
      <c r="J1872" s="32">
        <f t="shared" si="475"/>
        <v>0.11614500000000001</v>
      </c>
      <c r="K1872" s="33">
        <f t="shared" si="480"/>
        <v>1.742175E-2</v>
      </c>
      <c r="L1872" s="52"/>
      <c r="O1872" s="2">
        <f t="shared" si="481"/>
        <v>2.1750000000000002E-2</v>
      </c>
      <c r="P1872" s="2">
        <f t="shared" si="482"/>
        <v>15.66</v>
      </c>
      <c r="Q1872" s="7">
        <f t="shared" si="483"/>
        <v>70.923913043478265</v>
      </c>
      <c r="R1872" s="2">
        <v>1.2</v>
      </c>
      <c r="S1872" s="2">
        <f t="shared" si="476"/>
        <v>4.45</v>
      </c>
      <c r="T1872" s="2"/>
      <c r="U1872" s="2"/>
      <c r="Y1872" s="8">
        <f t="shared" si="474"/>
        <v>2.5248913043478263</v>
      </c>
    </row>
    <row r="1873" spans="1:25" x14ac:dyDescent="0.25">
      <c r="A1873" s="34">
        <f t="shared" si="479"/>
        <v>1861</v>
      </c>
      <c r="B1873" s="34"/>
      <c r="C1873" s="57" t="s">
        <v>426</v>
      </c>
      <c r="D1873" s="44" t="s">
        <v>469</v>
      </c>
      <c r="E1873" s="43"/>
      <c r="F1873" s="36">
        <v>0.19037599999999999</v>
      </c>
      <c r="G1873" s="36">
        <f t="shared" si="477"/>
        <v>3.7504071999999999E-2</v>
      </c>
      <c r="H1873" s="36">
        <v>1.1776999999999999E-2</v>
      </c>
      <c r="I1873" s="36">
        <f t="shared" si="478"/>
        <v>1.7665499999999998E-3</v>
      </c>
      <c r="J1873" s="32">
        <f t="shared" si="475"/>
        <v>2.6203825000000004E-2</v>
      </c>
      <c r="K1873" s="33">
        <f t="shared" si="480"/>
        <v>3.9305737500000002E-3</v>
      </c>
      <c r="L1873" s="52"/>
      <c r="O1873" s="2">
        <f t="shared" si="481"/>
        <v>4.9070833333333336E-3</v>
      </c>
      <c r="P1873" s="2">
        <f t="shared" si="482"/>
        <v>3.5331000000000006</v>
      </c>
      <c r="Q1873" s="7">
        <f t="shared" si="483"/>
        <v>16.001358695652176</v>
      </c>
      <c r="R1873" s="2">
        <v>1.2</v>
      </c>
      <c r="S1873" s="2">
        <f t="shared" si="476"/>
        <v>4.45</v>
      </c>
      <c r="T1873" s="2"/>
      <c r="U1873" s="2"/>
      <c r="Y1873" s="8">
        <f t="shared" si="474"/>
        <v>0.56964836956521747</v>
      </c>
    </row>
    <row r="1874" spans="1:25" x14ac:dyDescent="0.25">
      <c r="A1874" s="34">
        <f t="shared" si="479"/>
        <v>1862</v>
      </c>
      <c r="B1874" s="34"/>
      <c r="C1874" s="57" t="s">
        <v>426</v>
      </c>
      <c r="D1874" s="44" t="s">
        <v>470</v>
      </c>
      <c r="E1874" s="43">
        <v>1</v>
      </c>
      <c r="F1874" s="36">
        <v>0.10425</v>
      </c>
      <c r="G1874" s="36">
        <f t="shared" si="477"/>
        <v>2.053725E-2</v>
      </c>
      <c r="H1874" s="36">
        <v>3.3119999999999997E-2</v>
      </c>
      <c r="I1874" s="36">
        <f t="shared" si="478"/>
        <v>4.9679999999999993E-3</v>
      </c>
      <c r="J1874" s="32">
        <f t="shared" si="475"/>
        <v>7.3691999999999994E-2</v>
      </c>
      <c r="K1874" s="33">
        <f t="shared" si="480"/>
        <v>1.1053799999999999E-2</v>
      </c>
      <c r="L1874" s="52"/>
      <c r="O1874" s="2">
        <f t="shared" si="481"/>
        <v>1.38E-2</v>
      </c>
      <c r="P1874" s="2">
        <f t="shared" si="482"/>
        <v>9.9359999999999999</v>
      </c>
      <c r="Q1874" s="7">
        <f t="shared" si="483"/>
        <v>45</v>
      </c>
      <c r="R1874" s="2">
        <v>1.2</v>
      </c>
      <c r="S1874" s="2">
        <f t="shared" si="476"/>
        <v>4.45</v>
      </c>
      <c r="T1874" s="2"/>
      <c r="U1874" s="2"/>
      <c r="Y1874" s="8">
        <f t="shared" si="474"/>
        <v>1.6019999999999999</v>
      </c>
    </row>
    <row r="1875" spans="1:25" x14ac:dyDescent="0.25">
      <c r="A1875" s="34">
        <f t="shared" si="479"/>
        <v>1863</v>
      </c>
      <c r="B1875" s="34"/>
      <c r="C1875" s="57" t="s">
        <v>426</v>
      </c>
      <c r="D1875" s="45" t="s">
        <v>470</v>
      </c>
      <c r="E1875" s="34">
        <v>2</v>
      </c>
      <c r="F1875" s="36">
        <v>0.10425</v>
      </c>
      <c r="G1875" s="36">
        <f t="shared" si="477"/>
        <v>2.053725E-2</v>
      </c>
      <c r="H1875" s="36">
        <v>3.3119999999999997E-2</v>
      </c>
      <c r="I1875" s="36">
        <f t="shared" si="478"/>
        <v>4.9679999999999993E-3</v>
      </c>
      <c r="J1875" s="32">
        <f t="shared" si="475"/>
        <v>7.3691999999999994E-2</v>
      </c>
      <c r="K1875" s="33">
        <f t="shared" si="480"/>
        <v>1.1053799999999999E-2</v>
      </c>
      <c r="L1875" s="24" t="s">
        <v>16</v>
      </c>
      <c r="O1875" s="2">
        <f t="shared" si="481"/>
        <v>1.38E-2</v>
      </c>
      <c r="P1875" s="2">
        <f t="shared" si="482"/>
        <v>9.9359999999999999</v>
      </c>
      <c r="Q1875" s="7">
        <f t="shared" si="483"/>
        <v>45</v>
      </c>
      <c r="R1875" s="2">
        <v>1.2</v>
      </c>
      <c r="S1875" s="2">
        <f t="shared" si="476"/>
        <v>4.45</v>
      </c>
      <c r="T1875" s="2"/>
      <c r="U1875" s="2"/>
      <c r="Y1875" s="8">
        <f t="shared" si="474"/>
        <v>1.6019999999999999</v>
      </c>
    </row>
    <row r="1876" spans="1:25" x14ac:dyDescent="0.25">
      <c r="A1876" s="34">
        <f t="shared" si="479"/>
        <v>1864</v>
      </c>
      <c r="B1876" s="34"/>
      <c r="C1876" s="57" t="s">
        <v>426</v>
      </c>
      <c r="D1876" s="44" t="s">
        <v>105</v>
      </c>
      <c r="E1876" s="43"/>
      <c r="F1876" s="36">
        <v>0.36051699999999998</v>
      </c>
      <c r="G1876" s="36">
        <f t="shared" si="477"/>
        <v>7.1021848999999998E-2</v>
      </c>
      <c r="H1876" s="36">
        <v>6.216E-2</v>
      </c>
      <c r="I1876" s="36">
        <f t="shared" si="478"/>
        <v>9.323999999999999E-3</v>
      </c>
      <c r="J1876" s="32">
        <f t="shared" si="475"/>
        <v>0.13830599999999998</v>
      </c>
      <c r="K1876" s="33">
        <f t="shared" si="480"/>
        <v>2.0745899999999998E-2</v>
      </c>
      <c r="L1876" s="52"/>
      <c r="O1876" s="2">
        <f t="shared" si="481"/>
        <v>2.5899999999999999E-2</v>
      </c>
      <c r="P1876" s="2">
        <f t="shared" si="482"/>
        <v>18.647999999999996</v>
      </c>
      <c r="Q1876" s="7">
        <f t="shared" si="483"/>
        <v>84.456521739130423</v>
      </c>
      <c r="R1876" s="2">
        <v>1.2</v>
      </c>
      <c r="S1876" s="2">
        <f t="shared" si="476"/>
        <v>4.45</v>
      </c>
      <c r="T1876" s="2"/>
      <c r="U1876" s="2"/>
      <c r="Y1876" s="8">
        <f t="shared" si="474"/>
        <v>3.006652173913043</v>
      </c>
    </row>
    <row r="1877" spans="1:25" x14ac:dyDescent="0.25">
      <c r="A1877" s="34">
        <f t="shared" si="479"/>
        <v>1865</v>
      </c>
      <c r="B1877" s="34"/>
      <c r="C1877" s="57" t="s">
        <v>426</v>
      </c>
      <c r="D1877" s="44" t="s">
        <v>266</v>
      </c>
      <c r="E1877" s="43"/>
      <c r="F1877" s="36">
        <v>0.10635</v>
      </c>
      <c r="G1877" s="36">
        <f t="shared" si="477"/>
        <v>2.0950949999999999E-2</v>
      </c>
      <c r="H1877" s="36">
        <v>1.1780000000000001E-2</v>
      </c>
      <c r="I1877" s="36">
        <f t="shared" si="478"/>
        <v>1.7669999999999999E-3</v>
      </c>
      <c r="J1877" s="32">
        <f t="shared" si="475"/>
        <v>2.6210500000000001E-2</v>
      </c>
      <c r="K1877" s="33">
        <f t="shared" si="480"/>
        <v>3.9315749999999997E-3</v>
      </c>
      <c r="L1877" s="52"/>
      <c r="O1877" s="2">
        <f t="shared" si="481"/>
        <v>4.908333333333334E-3</v>
      </c>
      <c r="P1877" s="2">
        <f t="shared" si="482"/>
        <v>3.5340000000000007</v>
      </c>
      <c r="Q1877" s="7">
        <f t="shared" si="483"/>
        <v>16.005434782608699</v>
      </c>
      <c r="R1877" s="2">
        <v>1.2</v>
      </c>
      <c r="S1877" s="2">
        <f t="shared" si="476"/>
        <v>4.45</v>
      </c>
      <c r="T1877" s="2"/>
      <c r="U1877" s="2"/>
      <c r="Y1877" s="8">
        <f t="shared" si="474"/>
        <v>0.56979347826086957</v>
      </c>
    </row>
    <row r="1878" spans="1:25" x14ac:dyDescent="0.25">
      <c r="A1878" s="34">
        <f t="shared" si="479"/>
        <v>1866</v>
      </c>
      <c r="B1878" s="34"/>
      <c r="C1878" s="57" t="s">
        <v>426</v>
      </c>
      <c r="D1878" s="44" t="s">
        <v>471</v>
      </c>
      <c r="E1878" s="43"/>
      <c r="F1878" s="36">
        <v>0.356715</v>
      </c>
      <c r="G1878" s="36">
        <f t="shared" si="477"/>
        <v>7.0272855000000009E-2</v>
      </c>
      <c r="H1878" s="36">
        <v>6.3640000000000002E-2</v>
      </c>
      <c r="I1878" s="36">
        <f t="shared" si="478"/>
        <v>9.5460000000000007E-3</v>
      </c>
      <c r="J1878" s="32">
        <f t="shared" si="475"/>
        <v>0.141599</v>
      </c>
      <c r="K1878" s="33">
        <f t="shared" si="480"/>
        <v>2.1239850000000001E-2</v>
      </c>
      <c r="L1878" s="52"/>
      <c r="O1878" s="2">
        <f t="shared" si="481"/>
        <v>2.6516666666666668E-2</v>
      </c>
      <c r="P1878" s="2">
        <f t="shared" si="482"/>
        <v>19.092000000000002</v>
      </c>
      <c r="Q1878" s="7">
        <f t="shared" si="483"/>
        <v>86.467391304347842</v>
      </c>
      <c r="R1878" s="2">
        <v>1.2</v>
      </c>
      <c r="S1878" s="2">
        <f t="shared" si="476"/>
        <v>4.45</v>
      </c>
      <c r="T1878" s="2"/>
      <c r="U1878" s="2"/>
      <c r="Y1878" s="8">
        <f t="shared" si="474"/>
        <v>3.0782391304347829</v>
      </c>
    </row>
    <row r="1879" spans="1:25" x14ac:dyDescent="0.25">
      <c r="A1879" s="34">
        <f t="shared" si="479"/>
        <v>1867</v>
      </c>
      <c r="B1879" s="34"/>
      <c r="C1879" s="57" t="s">
        <v>426</v>
      </c>
      <c r="D1879" s="44" t="s">
        <v>145</v>
      </c>
      <c r="E1879" s="43"/>
      <c r="F1879" s="36">
        <v>0.17002500000000001</v>
      </c>
      <c r="G1879" s="36">
        <f t="shared" si="477"/>
        <v>3.3494925000000002E-2</v>
      </c>
      <c r="H1879" s="36">
        <v>2.5899999999999999E-2</v>
      </c>
      <c r="I1879" s="36">
        <f t="shared" si="478"/>
        <v>3.8849999999999996E-3</v>
      </c>
      <c r="J1879" s="32">
        <f t="shared" si="475"/>
        <v>5.7627499999999998E-2</v>
      </c>
      <c r="K1879" s="33">
        <f t="shared" si="480"/>
        <v>8.644124999999999E-3</v>
      </c>
      <c r="L1879" s="52"/>
      <c r="O1879" s="2">
        <f t="shared" si="481"/>
        <v>1.0791666666666666E-2</v>
      </c>
      <c r="P1879" s="2">
        <f t="shared" si="482"/>
        <v>7.7700000000000005</v>
      </c>
      <c r="Q1879" s="7">
        <f t="shared" si="483"/>
        <v>35.190217391304351</v>
      </c>
      <c r="R1879" s="2">
        <v>1.2</v>
      </c>
      <c r="S1879" s="2">
        <f t="shared" si="476"/>
        <v>4.45</v>
      </c>
      <c r="T1879" s="2"/>
      <c r="U1879" s="2"/>
      <c r="Y1879" s="8">
        <f t="shared" si="474"/>
        <v>1.2527717391304347</v>
      </c>
    </row>
    <row r="1880" spans="1:25" x14ac:dyDescent="0.25">
      <c r="A1880" s="34">
        <f t="shared" si="479"/>
        <v>1868</v>
      </c>
      <c r="B1880" s="34"/>
      <c r="C1880" s="57" t="s">
        <v>427</v>
      </c>
      <c r="D1880" s="44" t="s">
        <v>341</v>
      </c>
      <c r="E1880" s="43"/>
      <c r="F1880" s="36">
        <v>0.19414899999999999</v>
      </c>
      <c r="G1880" s="36">
        <f t="shared" si="477"/>
        <v>3.8247352999999998E-2</v>
      </c>
      <c r="H1880" s="36">
        <v>3.6949999999999997E-2</v>
      </c>
      <c r="I1880" s="36">
        <f t="shared" si="478"/>
        <v>5.5424999999999997E-3</v>
      </c>
      <c r="J1880" s="32">
        <f t="shared" si="475"/>
        <v>8.2213750000000002E-2</v>
      </c>
      <c r="K1880" s="33">
        <f t="shared" si="480"/>
        <v>1.2332062499999999E-2</v>
      </c>
      <c r="L1880" s="52"/>
      <c r="O1880" s="2">
        <f t="shared" si="481"/>
        <v>1.5395833333333333E-2</v>
      </c>
      <c r="P1880" s="2">
        <f t="shared" si="482"/>
        <v>11.084999999999999</v>
      </c>
      <c r="Q1880" s="7">
        <f t="shared" si="483"/>
        <v>50.203804347826086</v>
      </c>
      <c r="R1880" s="2">
        <v>1.2</v>
      </c>
      <c r="S1880" s="2">
        <f t="shared" si="476"/>
        <v>4.45</v>
      </c>
      <c r="T1880" s="2"/>
      <c r="U1880" s="2"/>
      <c r="Y1880" s="8">
        <f t="shared" si="474"/>
        <v>1.7872554347826088</v>
      </c>
    </row>
    <row r="1881" spans="1:25" x14ac:dyDescent="0.25">
      <c r="A1881" s="34">
        <f t="shared" si="479"/>
        <v>1869</v>
      </c>
      <c r="B1881" s="34"/>
      <c r="C1881" s="57" t="s">
        <v>427</v>
      </c>
      <c r="D1881" s="44" t="s">
        <v>472</v>
      </c>
      <c r="E1881" s="43">
        <v>1</v>
      </c>
      <c r="F1881" s="36">
        <v>9.0829999999999994E-2</v>
      </c>
      <c r="G1881" s="36">
        <f t="shared" si="477"/>
        <v>1.7893509999999998E-2</v>
      </c>
      <c r="H1881" s="36">
        <v>0</v>
      </c>
      <c r="I1881" s="36">
        <f t="shared" si="478"/>
        <v>0</v>
      </c>
      <c r="J1881" s="32">
        <f t="shared" si="475"/>
        <v>0</v>
      </c>
      <c r="K1881" s="33">
        <f t="shared" si="480"/>
        <v>0</v>
      </c>
      <c r="L1881" s="52"/>
      <c r="O1881" s="2">
        <f t="shared" si="481"/>
        <v>0</v>
      </c>
      <c r="P1881" s="2">
        <f t="shared" si="482"/>
        <v>0</v>
      </c>
      <c r="Q1881" s="7">
        <f t="shared" si="483"/>
        <v>0</v>
      </c>
      <c r="R1881" s="2">
        <v>1.2</v>
      </c>
      <c r="S1881" s="2">
        <f t="shared" si="476"/>
        <v>4.45</v>
      </c>
      <c r="T1881" s="2"/>
      <c r="U1881" s="2"/>
      <c r="Y1881" s="8">
        <f t="shared" si="474"/>
        <v>0</v>
      </c>
    </row>
    <row r="1882" spans="1:25" x14ac:dyDescent="0.25">
      <c r="A1882" s="34">
        <f t="shared" si="479"/>
        <v>1870</v>
      </c>
      <c r="B1882" s="34"/>
      <c r="C1882" s="57" t="s">
        <v>427</v>
      </c>
      <c r="D1882" s="45" t="s">
        <v>472</v>
      </c>
      <c r="E1882" s="34">
        <v>2</v>
      </c>
      <c r="F1882" s="36">
        <v>9.0829999999999994E-2</v>
      </c>
      <c r="G1882" s="36">
        <f t="shared" si="477"/>
        <v>1.7893509999999998E-2</v>
      </c>
      <c r="H1882" s="36">
        <v>8.2474000000000006E-2</v>
      </c>
      <c r="I1882" s="36">
        <f t="shared" si="478"/>
        <v>1.2371100000000001E-2</v>
      </c>
      <c r="J1882" s="32">
        <f t="shared" si="475"/>
        <v>0.18350465000000002</v>
      </c>
      <c r="K1882" s="33">
        <f t="shared" si="480"/>
        <v>2.7525697500000001E-2</v>
      </c>
      <c r="L1882" s="24" t="s">
        <v>16</v>
      </c>
      <c r="O1882" s="2">
        <f t="shared" si="481"/>
        <v>3.4364166666666668E-2</v>
      </c>
      <c r="P1882" s="2">
        <f t="shared" si="482"/>
        <v>24.7422</v>
      </c>
      <c r="Q1882" s="7">
        <f t="shared" si="483"/>
        <v>112.05706521739131</v>
      </c>
      <c r="R1882" s="2">
        <v>1.2</v>
      </c>
      <c r="S1882" s="2">
        <f t="shared" si="476"/>
        <v>4.45</v>
      </c>
      <c r="T1882" s="2"/>
      <c r="U1882" s="2"/>
      <c r="Y1882" s="8">
        <f t="shared" si="474"/>
        <v>3.9892315217391312</v>
      </c>
    </row>
    <row r="1883" spans="1:25" x14ac:dyDescent="0.25">
      <c r="A1883" s="34">
        <f t="shared" si="479"/>
        <v>1871</v>
      </c>
      <c r="B1883" s="34"/>
      <c r="C1883" s="57" t="s">
        <v>427</v>
      </c>
      <c r="D1883" s="45" t="s">
        <v>472</v>
      </c>
      <c r="E1883" s="34">
        <v>3</v>
      </c>
      <c r="F1883" s="36">
        <v>9.0829999999999994E-2</v>
      </c>
      <c r="G1883" s="36">
        <f t="shared" si="477"/>
        <v>1.7893509999999998E-2</v>
      </c>
      <c r="H1883" s="36">
        <v>0</v>
      </c>
      <c r="I1883" s="36">
        <f t="shared" si="478"/>
        <v>0</v>
      </c>
      <c r="J1883" s="32">
        <f t="shared" si="475"/>
        <v>0</v>
      </c>
      <c r="K1883" s="33">
        <f t="shared" si="480"/>
        <v>0</v>
      </c>
      <c r="L1883" s="52"/>
      <c r="O1883" s="2">
        <f t="shared" si="481"/>
        <v>0</v>
      </c>
      <c r="P1883" s="2">
        <f t="shared" si="482"/>
        <v>0</v>
      </c>
      <c r="Q1883" s="7">
        <f t="shared" si="483"/>
        <v>0</v>
      </c>
      <c r="R1883" s="2">
        <v>1.2</v>
      </c>
      <c r="S1883" s="2">
        <f t="shared" si="476"/>
        <v>4.45</v>
      </c>
      <c r="T1883" s="2"/>
      <c r="U1883" s="2"/>
      <c r="Y1883" s="8">
        <f t="shared" si="474"/>
        <v>0</v>
      </c>
    </row>
    <row r="1884" spans="1:25" x14ac:dyDescent="0.25">
      <c r="A1884" s="34">
        <f t="shared" si="479"/>
        <v>1872</v>
      </c>
      <c r="B1884" s="34"/>
      <c r="C1884" s="57" t="s">
        <v>427</v>
      </c>
      <c r="D1884" s="45" t="s">
        <v>472</v>
      </c>
      <c r="E1884" s="34">
        <v>4</v>
      </c>
      <c r="F1884" s="36">
        <v>9.0829999999999994E-2</v>
      </c>
      <c r="G1884" s="36">
        <f t="shared" si="477"/>
        <v>1.7893509999999998E-2</v>
      </c>
      <c r="H1884" s="36">
        <v>8.2474000000000006E-2</v>
      </c>
      <c r="I1884" s="36">
        <f t="shared" si="478"/>
        <v>1.2371100000000001E-2</v>
      </c>
      <c r="J1884" s="32">
        <f t="shared" si="475"/>
        <v>0.18350465000000002</v>
      </c>
      <c r="K1884" s="33">
        <f t="shared" si="480"/>
        <v>2.7525697500000001E-2</v>
      </c>
      <c r="L1884" s="24" t="s">
        <v>16</v>
      </c>
      <c r="O1884" s="2">
        <f t="shared" si="481"/>
        <v>3.4364166666666668E-2</v>
      </c>
      <c r="P1884" s="2">
        <f t="shared" si="482"/>
        <v>24.7422</v>
      </c>
      <c r="Q1884" s="7">
        <f t="shared" si="483"/>
        <v>112.05706521739131</v>
      </c>
      <c r="R1884" s="2">
        <v>1.2</v>
      </c>
      <c r="S1884" s="2">
        <f t="shared" si="476"/>
        <v>4.45</v>
      </c>
      <c r="T1884" s="2"/>
      <c r="U1884" s="2"/>
      <c r="Y1884" s="8">
        <f t="shared" si="474"/>
        <v>3.9892315217391312</v>
      </c>
    </row>
    <row r="1885" spans="1:25" x14ac:dyDescent="0.25">
      <c r="A1885" s="34">
        <f t="shared" si="479"/>
        <v>1873</v>
      </c>
      <c r="B1885" s="34"/>
      <c r="C1885" s="57" t="s">
        <v>427</v>
      </c>
      <c r="D1885" s="45" t="s">
        <v>472</v>
      </c>
      <c r="E1885" s="34">
        <v>5</v>
      </c>
      <c r="F1885" s="36">
        <v>9.0829999999999994E-2</v>
      </c>
      <c r="G1885" s="36">
        <f t="shared" si="477"/>
        <v>1.7893509999999998E-2</v>
      </c>
      <c r="H1885" s="36">
        <v>0</v>
      </c>
      <c r="I1885" s="36">
        <f t="shared" si="478"/>
        <v>0</v>
      </c>
      <c r="J1885" s="32">
        <f t="shared" si="475"/>
        <v>0</v>
      </c>
      <c r="K1885" s="33">
        <f t="shared" si="480"/>
        <v>0</v>
      </c>
      <c r="L1885" s="52"/>
      <c r="O1885" s="2">
        <f t="shared" si="481"/>
        <v>0</v>
      </c>
      <c r="P1885" s="2">
        <f t="shared" si="482"/>
        <v>0</v>
      </c>
      <c r="Q1885" s="7">
        <f t="shared" si="483"/>
        <v>0</v>
      </c>
      <c r="R1885" s="2">
        <v>1.2</v>
      </c>
      <c r="S1885" s="2">
        <f t="shared" si="476"/>
        <v>4.45</v>
      </c>
      <c r="T1885" s="2"/>
      <c r="U1885" s="2"/>
      <c r="Y1885" s="8">
        <f t="shared" si="474"/>
        <v>0</v>
      </c>
    </row>
    <row r="1886" spans="1:25" x14ac:dyDescent="0.25">
      <c r="A1886" s="34">
        <f t="shared" si="479"/>
        <v>1874</v>
      </c>
      <c r="B1886" s="34"/>
      <c r="C1886" s="57" t="s">
        <v>427</v>
      </c>
      <c r="D1886" s="45" t="s">
        <v>472</v>
      </c>
      <c r="E1886" s="34">
        <v>6</v>
      </c>
      <c r="F1886" s="36">
        <v>9.0829999999999994E-2</v>
      </c>
      <c r="G1886" s="36">
        <f t="shared" si="477"/>
        <v>1.7893509999999998E-2</v>
      </c>
      <c r="H1886" s="36">
        <v>8.2474000000000006E-2</v>
      </c>
      <c r="I1886" s="36">
        <f t="shared" si="478"/>
        <v>1.2371100000000001E-2</v>
      </c>
      <c r="J1886" s="32">
        <f t="shared" si="475"/>
        <v>0.18350465000000002</v>
      </c>
      <c r="K1886" s="33">
        <f t="shared" si="480"/>
        <v>2.7525697500000001E-2</v>
      </c>
      <c r="L1886" s="52"/>
      <c r="O1886" s="2">
        <f t="shared" si="481"/>
        <v>3.4364166666666668E-2</v>
      </c>
      <c r="P1886" s="2">
        <f t="shared" si="482"/>
        <v>24.7422</v>
      </c>
      <c r="Q1886" s="7">
        <f t="shared" si="483"/>
        <v>112.05706521739131</v>
      </c>
      <c r="R1886" s="2">
        <v>1.2</v>
      </c>
      <c r="S1886" s="2">
        <f t="shared" si="476"/>
        <v>4.45</v>
      </c>
      <c r="T1886" s="2"/>
      <c r="U1886" s="2"/>
      <c r="Y1886" s="8">
        <f t="shared" si="474"/>
        <v>3.9892315217391312</v>
      </c>
    </row>
    <row r="1887" spans="1:25" x14ac:dyDescent="0.25">
      <c r="A1887" s="34">
        <f t="shared" si="479"/>
        <v>1875</v>
      </c>
      <c r="B1887" s="34"/>
      <c r="C1887" s="57" t="s">
        <v>427</v>
      </c>
      <c r="D1887" s="43" t="s">
        <v>473</v>
      </c>
      <c r="E1887" s="43"/>
      <c r="F1887" s="36">
        <v>8.8102E-2</v>
      </c>
      <c r="G1887" s="36">
        <f t="shared" si="477"/>
        <v>1.7356093999999999E-2</v>
      </c>
      <c r="H1887" s="36">
        <v>2.2817E-2</v>
      </c>
      <c r="I1887" s="36">
        <f t="shared" si="478"/>
        <v>3.4225499999999999E-3</v>
      </c>
      <c r="J1887" s="32">
        <f t="shared" si="475"/>
        <v>5.0767825000000003E-2</v>
      </c>
      <c r="K1887" s="33">
        <f t="shared" si="480"/>
        <v>7.6151737499999999E-3</v>
      </c>
      <c r="L1887" s="52"/>
      <c r="O1887" s="2">
        <f t="shared" si="481"/>
        <v>9.5070833333333344E-3</v>
      </c>
      <c r="P1887" s="2">
        <f t="shared" si="482"/>
        <v>6.8451000000000013</v>
      </c>
      <c r="Q1887" s="7">
        <f t="shared" si="483"/>
        <v>31.001358695652179</v>
      </c>
      <c r="R1887" s="2">
        <v>1.2</v>
      </c>
      <c r="S1887" s="2">
        <f t="shared" si="476"/>
        <v>4.45</v>
      </c>
      <c r="T1887" s="2"/>
      <c r="U1887" s="2"/>
      <c r="Y1887" s="8">
        <f t="shared" si="474"/>
        <v>1.1036483695652175</v>
      </c>
    </row>
    <row r="1888" spans="1:25" x14ac:dyDescent="0.25">
      <c r="A1888" s="34">
        <f t="shared" si="479"/>
        <v>1876</v>
      </c>
      <c r="B1888" s="34"/>
      <c r="C1888" s="57" t="s">
        <v>427</v>
      </c>
      <c r="D1888" s="44" t="s">
        <v>256</v>
      </c>
      <c r="E1888" s="43"/>
      <c r="F1888" s="36">
        <v>8.0824999999999994E-2</v>
      </c>
      <c r="G1888" s="36">
        <f t="shared" si="477"/>
        <v>1.5922525E-2</v>
      </c>
      <c r="H1888" s="36">
        <v>2.7233E-2</v>
      </c>
      <c r="I1888" s="36">
        <f t="shared" si="478"/>
        <v>4.0849499999999995E-3</v>
      </c>
      <c r="J1888" s="32">
        <f t="shared" si="475"/>
        <v>6.0593425000000006E-2</v>
      </c>
      <c r="K1888" s="33">
        <f t="shared" si="480"/>
        <v>9.0890137500000013E-3</v>
      </c>
      <c r="L1888" s="52"/>
      <c r="O1888" s="2">
        <f t="shared" si="481"/>
        <v>1.1347083333333334E-2</v>
      </c>
      <c r="P1888" s="2">
        <f t="shared" si="482"/>
        <v>8.1699000000000002</v>
      </c>
      <c r="Q1888" s="7">
        <f t="shared" si="483"/>
        <v>37.001358695652172</v>
      </c>
      <c r="R1888" s="2">
        <v>1.2</v>
      </c>
      <c r="S1888" s="2">
        <f t="shared" si="476"/>
        <v>4.45</v>
      </c>
      <c r="T1888" s="2"/>
      <c r="U1888" s="2"/>
      <c r="Y1888" s="8">
        <f t="shared" si="474"/>
        <v>1.3172483695652175</v>
      </c>
    </row>
    <row r="1889" spans="1:25" x14ac:dyDescent="0.25">
      <c r="A1889" s="34">
        <f t="shared" si="479"/>
        <v>1877</v>
      </c>
      <c r="B1889" s="34" t="e">
        <f>#REF!+1</f>
        <v>#REF!</v>
      </c>
      <c r="C1889" s="42" t="s">
        <v>474</v>
      </c>
      <c r="D1889" s="43">
        <v>96</v>
      </c>
      <c r="E1889" s="43"/>
      <c r="F1889" s="36">
        <v>0.234402</v>
      </c>
      <c r="G1889" s="36">
        <f t="shared" si="477"/>
        <v>4.6177194000000005E-2</v>
      </c>
      <c r="H1889" s="36">
        <v>7.3260000000000006E-2</v>
      </c>
      <c r="I1889" s="36">
        <f t="shared" si="478"/>
        <v>1.0989000000000001E-2</v>
      </c>
      <c r="J1889" s="32">
        <f t="shared" si="475"/>
        <v>0.16300350000000002</v>
      </c>
      <c r="K1889" s="33">
        <f t="shared" si="480"/>
        <v>2.4450525000000004E-2</v>
      </c>
      <c r="L1889" s="52"/>
      <c r="O1889" s="2">
        <f t="shared" si="481"/>
        <v>3.0525000000000004E-2</v>
      </c>
      <c r="P1889" s="2">
        <f t="shared" si="482"/>
        <v>21.978000000000005</v>
      </c>
      <c r="Q1889" s="7">
        <f t="shared" si="483"/>
        <v>99.538043478260889</v>
      </c>
      <c r="R1889" s="2">
        <v>1.2</v>
      </c>
      <c r="S1889" s="2">
        <f t="shared" si="476"/>
        <v>4.45</v>
      </c>
      <c r="T1889" s="2"/>
      <c r="U1889" s="2"/>
      <c r="Y1889" s="8">
        <f t="shared" si="474"/>
        <v>3.5435543478260874</v>
      </c>
    </row>
    <row r="1890" spans="1:25" x14ac:dyDescent="0.25">
      <c r="A1890" s="34">
        <f t="shared" si="479"/>
        <v>1878</v>
      </c>
      <c r="B1890" s="34"/>
      <c r="C1890" s="57" t="s">
        <v>392</v>
      </c>
      <c r="D1890" s="44" t="s">
        <v>475</v>
      </c>
      <c r="E1890" s="43"/>
      <c r="F1890" s="36">
        <v>0.36</v>
      </c>
      <c r="G1890" s="36">
        <f t="shared" si="477"/>
        <v>7.0919999999999997E-2</v>
      </c>
      <c r="H1890" s="36">
        <v>5.8303000000000001E-2</v>
      </c>
      <c r="I1890" s="36">
        <f t="shared" si="478"/>
        <v>8.7454500000000001E-3</v>
      </c>
      <c r="J1890" s="32">
        <f t="shared" si="475"/>
        <v>0.129724175</v>
      </c>
      <c r="K1890" s="33">
        <f t="shared" si="480"/>
        <v>1.945862625E-2</v>
      </c>
      <c r="L1890" s="52"/>
      <c r="O1890" s="2">
        <f t="shared" si="481"/>
        <v>2.4292916666666668E-2</v>
      </c>
      <c r="P1890" s="2">
        <f t="shared" si="482"/>
        <v>17.4909</v>
      </c>
      <c r="Q1890" s="7">
        <f t="shared" si="483"/>
        <v>79.216032608695656</v>
      </c>
      <c r="R1890" s="2">
        <v>1.2</v>
      </c>
      <c r="S1890" s="2">
        <f t="shared" si="476"/>
        <v>4.45</v>
      </c>
      <c r="T1890" s="2"/>
      <c r="U1890" s="2"/>
      <c r="Y1890" s="8">
        <f t="shared" si="474"/>
        <v>2.8200907608695651</v>
      </c>
    </row>
    <row r="1891" spans="1:25" x14ac:dyDescent="0.25">
      <c r="A1891" s="34">
        <f t="shared" si="479"/>
        <v>1879</v>
      </c>
      <c r="B1891" s="34"/>
      <c r="C1891" s="57" t="s">
        <v>392</v>
      </c>
      <c r="D1891" s="44" t="s">
        <v>476</v>
      </c>
      <c r="E1891" s="43"/>
      <c r="F1891" s="36">
        <v>0.29355399999999998</v>
      </c>
      <c r="G1891" s="36">
        <f t="shared" si="477"/>
        <v>5.7830137999999996E-2</v>
      </c>
      <c r="H1891" s="36">
        <v>6.5503000000000006E-2</v>
      </c>
      <c r="I1891" s="36">
        <f t="shared" si="478"/>
        <v>9.8254500000000012E-3</v>
      </c>
      <c r="J1891" s="32">
        <f t="shared" si="475"/>
        <v>0.14574417500000003</v>
      </c>
      <c r="K1891" s="33">
        <f t="shared" si="480"/>
        <v>2.1861626250000005E-2</v>
      </c>
      <c r="L1891" s="52"/>
      <c r="O1891" s="2">
        <f t="shared" si="481"/>
        <v>2.729291666666667E-2</v>
      </c>
      <c r="P1891" s="2">
        <f t="shared" si="482"/>
        <v>19.650900000000004</v>
      </c>
      <c r="Q1891" s="7">
        <f t="shared" si="483"/>
        <v>88.998641304347842</v>
      </c>
      <c r="R1891" s="2">
        <v>1.2</v>
      </c>
      <c r="S1891" s="2">
        <f t="shared" si="476"/>
        <v>4.45</v>
      </c>
      <c r="T1891" s="2"/>
      <c r="U1891" s="2"/>
      <c r="Y1891" s="8">
        <f t="shared" si="474"/>
        <v>3.168351630434783</v>
      </c>
    </row>
    <row r="1892" spans="1:25" x14ac:dyDescent="0.25">
      <c r="A1892" s="34">
        <f t="shared" si="479"/>
        <v>1880</v>
      </c>
      <c r="B1892" s="34"/>
      <c r="C1892" s="57" t="s">
        <v>392</v>
      </c>
      <c r="D1892" s="44" t="s">
        <v>477</v>
      </c>
      <c r="E1892" s="43"/>
      <c r="F1892" s="36">
        <v>0.12771099999999999</v>
      </c>
      <c r="G1892" s="36">
        <f t="shared" si="477"/>
        <v>2.5159067E-2</v>
      </c>
      <c r="H1892" s="36">
        <v>1.1039999999999999E-2</v>
      </c>
      <c r="I1892" s="36">
        <f t="shared" si="478"/>
        <v>1.6559999999999999E-3</v>
      </c>
      <c r="J1892" s="32">
        <f t="shared" si="475"/>
        <v>2.4563999999999999E-2</v>
      </c>
      <c r="K1892" s="33">
        <f t="shared" si="480"/>
        <v>3.6845999999999997E-3</v>
      </c>
      <c r="L1892" s="52"/>
      <c r="O1892" s="2">
        <f t="shared" si="481"/>
        <v>4.5999999999999999E-3</v>
      </c>
      <c r="P1892" s="2">
        <f t="shared" si="482"/>
        <v>3.3119999999999998</v>
      </c>
      <c r="Q1892" s="7">
        <f t="shared" si="483"/>
        <v>15</v>
      </c>
      <c r="R1892" s="2">
        <v>1.2</v>
      </c>
      <c r="S1892" s="2">
        <f t="shared" si="476"/>
        <v>4.45</v>
      </c>
      <c r="T1892" s="2"/>
      <c r="U1892" s="2"/>
      <c r="Y1892" s="8">
        <f t="shared" si="474"/>
        <v>0.53399999999999992</v>
      </c>
    </row>
    <row r="1893" spans="1:25" x14ac:dyDescent="0.25">
      <c r="A1893" s="34">
        <f t="shared" si="479"/>
        <v>1881</v>
      </c>
      <c r="B1893" s="34"/>
      <c r="C1893" s="57" t="s">
        <v>392</v>
      </c>
      <c r="D1893" s="44" t="s">
        <v>478</v>
      </c>
      <c r="E1893" s="43"/>
      <c r="F1893" s="36">
        <v>8.0095E-2</v>
      </c>
      <c r="G1893" s="36">
        <f t="shared" si="477"/>
        <v>1.5778715000000002E-2</v>
      </c>
      <c r="H1893" s="36">
        <v>2.8861999999999999E-2</v>
      </c>
      <c r="I1893" s="36">
        <f t="shared" si="478"/>
        <v>4.3292999999999995E-3</v>
      </c>
      <c r="J1893" s="32">
        <f t="shared" si="475"/>
        <v>6.4217949999999996E-2</v>
      </c>
      <c r="K1893" s="33">
        <f t="shared" si="480"/>
        <v>9.6326924999999997E-3</v>
      </c>
      <c r="L1893" s="52"/>
      <c r="O1893" s="2">
        <f t="shared" si="481"/>
        <v>1.2025833333333333E-2</v>
      </c>
      <c r="P1893" s="2">
        <f t="shared" si="482"/>
        <v>8.6585999999999999</v>
      </c>
      <c r="Q1893" s="7">
        <f t="shared" si="483"/>
        <v>39.214673913043477</v>
      </c>
      <c r="R1893" s="2">
        <v>1.2</v>
      </c>
      <c r="S1893" s="2">
        <f t="shared" si="476"/>
        <v>4.45</v>
      </c>
      <c r="T1893" s="2"/>
      <c r="U1893" s="2"/>
      <c r="Y1893" s="8">
        <f t="shared" si="474"/>
        <v>1.3960423913043478</v>
      </c>
    </row>
    <row r="1894" spans="1:25" x14ac:dyDescent="0.25">
      <c r="A1894" s="34">
        <f t="shared" si="479"/>
        <v>1882</v>
      </c>
      <c r="B1894" s="34"/>
      <c r="C1894" s="57" t="s">
        <v>392</v>
      </c>
      <c r="D1894" s="44" t="s">
        <v>479</v>
      </c>
      <c r="E1894" s="43"/>
      <c r="F1894" s="36">
        <v>0.140734</v>
      </c>
      <c r="G1894" s="36">
        <f t="shared" si="477"/>
        <v>2.7724598E-2</v>
      </c>
      <c r="H1894" s="36">
        <v>2.4766E-2</v>
      </c>
      <c r="I1894" s="36">
        <f t="shared" si="478"/>
        <v>3.7148999999999997E-3</v>
      </c>
      <c r="J1894" s="32">
        <f t="shared" si="475"/>
        <v>5.5104350000000003E-2</v>
      </c>
      <c r="K1894" s="33">
        <f t="shared" si="480"/>
        <v>8.2656524999999998E-3</v>
      </c>
      <c r="L1894" s="52"/>
      <c r="O1894" s="2">
        <f t="shared" si="481"/>
        <v>1.0319166666666667E-2</v>
      </c>
      <c r="P1894" s="2">
        <f t="shared" si="482"/>
        <v>7.4298000000000002</v>
      </c>
      <c r="Q1894" s="7">
        <f t="shared" si="483"/>
        <v>33.649456521739133</v>
      </c>
      <c r="R1894" s="2">
        <v>1.2</v>
      </c>
      <c r="S1894" s="2">
        <f t="shared" si="476"/>
        <v>4.45</v>
      </c>
      <c r="T1894" s="2"/>
      <c r="U1894" s="2"/>
      <c r="Y1894" s="8">
        <f t="shared" si="474"/>
        <v>1.197920652173913</v>
      </c>
    </row>
    <row r="1895" spans="1:25" x14ac:dyDescent="0.25">
      <c r="A1895" s="34">
        <f t="shared" si="479"/>
        <v>1883</v>
      </c>
      <c r="B1895" s="34"/>
      <c r="C1895" s="57" t="s">
        <v>431</v>
      </c>
      <c r="D1895" s="44" t="s">
        <v>170</v>
      </c>
      <c r="E1895" s="43"/>
      <c r="F1895" s="36">
        <v>0.47575200000000001</v>
      </c>
      <c r="G1895" s="36">
        <f t="shared" si="477"/>
        <v>9.3723144000000008E-2</v>
      </c>
      <c r="H1895" s="36">
        <v>7.399E-2</v>
      </c>
      <c r="I1895" s="36">
        <f t="shared" si="478"/>
        <v>1.1098499999999999E-2</v>
      </c>
      <c r="J1895" s="32">
        <f t="shared" si="475"/>
        <v>0.16462775000000002</v>
      </c>
      <c r="K1895" s="33">
        <f t="shared" si="480"/>
        <v>2.4694162500000002E-2</v>
      </c>
      <c r="L1895" s="52"/>
      <c r="O1895" s="2">
        <f t="shared" si="481"/>
        <v>3.0829166666666668E-2</v>
      </c>
      <c r="P1895" s="2">
        <f t="shared" si="482"/>
        <v>22.196999999999999</v>
      </c>
      <c r="Q1895" s="7">
        <f t="shared" si="483"/>
        <v>100.52989130434783</v>
      </c>
      <c r="R1895" s="2">
        <v>1.2</v>
      </c>
      <c r="S1895" s="2">
        <f t="shared" si="476"/>
        <v>4.45</v>
      </c>
      <c r="T1895" s="2"/>
      <c r="U1895" s="2"/>
      <c r="Y1895" s="8">
        <f t="shared" si="474"/>
        <v>3.5788641304347828</v>
      </c>
    </row>
    <row r="1896" spans="1:25" x14ac:dyDescent="0.25">
      <c r="A1896" s="34">
        <f t="shared" si="479"/>
        <v>1884</v>
      </c>
      <c r="B1896" s="34"/>
      <c r="C1896" s="57" t="s">
        <v>431</v>
      </c>
      <c r="D1896" s="44" t="s">
        <v>41</v>
      </c>
      <c r="E1896" s="43"/>
      <c r="F1896" s="36">
        <v>0.27102799999999999</v>
      </c>
      <c r="G1896" s="36">
        <f t="shared" si="477"/>
        <v>5.3392516000000001E-2</v>
      </c>
      <c r="H1896" s="36">
        <v>7.0059999999999997E-2</v>
      </c>
      <c r="I1896" s="36">
        <f t="shared" si="478"/>
        <v>1.0508999999999999E-2</v>
      </c>
      <c r="J1896" s="32">
        <f t="shared" si="475"/>
        <v>0.15588350000000001</v>
      </c>
      <c r="K1896" s="33">
        <f t="shared" si="480"/>
        <v>2.3382525000000001E-2</v>
      </c>
      <c r="L1896" s="52"/>
      <c r="O1896" s="2">
        <f t="shared" si="481"/>
        <v>2.9191666666666668E-2</v>
      </c>
      <c r="P1896" s="2">
        <f t="shared" si="482"/>
        <v>21.018000000000001</v>
      </c>
      <c r="Q1896" s="7">
        <f t="shared" si="483"/>
        <v>95.190217391304358</v>
      </c>
      <c r="R1896" s="2">
        <v>1.2</v>
      </c>
      <c r="S1896" s="2">
        <f t="shared" si="476"/>
        <v>4.45</v>
      </c>
      <c r="T1896" s="2"/>
      <c r="U1896" s="2"/>
      <c r="Y1896" s="8">
        <f t="shared" si="474"/>
        <v>3.3887717391304348</v>
      </c>
    </row>
    <row r="1897" spans="1:25" x14ac:dyDescent="0.25">
      <c r="A1897" s="34">
        <f t="shared" si="479"/>
        <v>1885</v>
      </c>
      <c r="B1897" s="34"/>
      <c r="C1897" s="57" t="s">
        <v>431</v>
      </c>
      <c r="D1897" s="44" t="s">
        <v>42</v>
      </c>
      <c r="E1897" s="43"/>
      <c r="F1897" s="36">
        <v>0.10179000000000001</v>
      </c>
      <c r="G1897" s="36">
        <f t="shared" si="477"/>
        <v>2.0052630000000002E-2</v>
      </c>
      <c r="H1897" s="36">
        <v>3.7600000000000001E-2</v>
      </c>
      <c r="I1897" s="36">
        <f t="shared" si="478"/>
        <v>5.64E-3</v>
      </c>
      <c r="J1897" s="32">
        <f t="shared" si="475"/>
        <v>8.3660000000000012E-2</v>
      </c>
      <c r="K1897" s="33">
        <f t="shared" si="480"/>
        <v>1.2549000000000001E-2</v>
      </c>
      <c r="L1897" s="52"/>
      <c r="O1897" s="2">
        <f t="shared" si="481"/>
        <v>1.5666666666666669E-2</v>
      </c>
      <c r="P1897" s="2">
        <f t="shared" si="482"/>
        <v>11.280000000000001</v>
      </c>
      <c r="Q1897" s="7">
        <f t="shared" si="483"/>
        <v>51.08695652173914</v>
      </c>
      <c r="R1897" s="2">
        <v>1.2</v>
      </c>
      <c r="S1897" s="2">
        <f t="shared" si="476"/>
        <v>4.45</v>
      </c>
      <c r="T1897" s="2"/>
      <c r="U1897" s="2"/>
      <c r="Y1897" s="8">
        <f t="shared" si="474"/>
        <v>1.8186956521739133</v>
      </c>
    </row>
    <row r="1898" spans="1:25" x14ac:dyDescent="0.25">
      <c r="A1898" s="34">
        <f t="shared" si="479"/>
        <v>1886</v>
      </c>
      <c r="B1898" s="34"/>
      <c r="C1898" s="57" t="s">
        <v>431</v>
      </c>
      <c r="D1898" s="44" t="s">
        <v>81</v>
      </c>
      <c r="E1898" s="43"/>
      <c r="F1898" s="36">
        <v>0.16708999999999999</v>
      </c>
      <c r="G1898" s="36">
        <f t="shared" si="477"/>
        <v>3.2916729999999998E-2</v>
      </c>
      <c r="H1898" s="36">
        <v>5.994E-2</v>
      </c>
      <c r="I1898" s="36">
        <f t="shared" si="478"/>
        <v>8.990999999999999E-3</v>
      </c>
      <c r="J1898" s="32">
        <f t="shared" si="475"/>
        <v>0.1333665</v>
      </c>
      <c r="K1898" s="33">
        <f t="shared" si="480"/>
        <v>2.0004974999999998E-2</v>
      </c>
      <c r="L1898" s="52"/>
      <c r="O1898" s="2">
        <f t="shared" si="481"/>
        <v>2.4975000000000001E-2</v>
      </c>
      <c r="P1898" s="2">
        <f t="shared" si="482"/>
        <v>17.982000000000003</v>
      </c>
      <c r="Q1898" s="7">
        <f t="shared" si="483"/>
        <v>81.440217391304358</v>
      </c>
      <c r="R1898" s="2">
        <v>1.2</v>
      </c>
      <c r="S1898" s="2">
        <f t="shared" si="476"/>
        <v>4.45</v>
      </c>
      <c r="T1898" s="2"/>
      <c r="U1898" s="2"/>
      <c r="Y1898" s="8">
        <f t="shared" ref="Y1898:Y1961" si="484">J1898/46*1000</f>
        <v>2.8992717391304348</v>
      </c>
    </row>
    <row r="1899" spans="1:25" x14ac:dyDescent="0.25">
      <c r="A1899" s="34">
        <f t="shared" si="479"/>
        <v>1887</v>
      </c>
      <c r="B1899" s="34"/>
      <c r="C1899" s="57" t="s">
        <v>431</v>
      </c>
      <c r="D1899" s="44" t="s">
        <v>277</v>
      </c>
      <c r="E1899" s="43"/>
      <c r="F1899" s="36">
        <v>0.27562199999999998</v>
      </c>
      <c r="G1899" s="36">
        <f t="shared" si="477"/>
        <v>5.4297534000000001E-2</v>
      </c>
      <c r="H1899" s="36">
        <v>6.5119999999999997E-2</v>
      </c>
      <c r="I1899" s="36">
        <f t="shared" si="478"/>
        <v>9.7679999999999989E-3</v>
      </c>
      <c r="J1899" s="32">
        <f t="shared" ref="J1899:J1962" si="485">O1899*R1899*S1899</f>
        <v>0.14489199999999999</v>
      </c>
      <c r="K1899" s="33">
        <f t="shared" si="480"/>
        <v>2.1733799999999998E-2</v>
      </c>
      <c r="L1899" s="52"/>
      <c r="O1899" s="2">
        <f t="shared" si="481"/>
        <v>2.7133333333333332E-2</v>
      </c>
      <c r="P1899" s="2">
        <f t="shared" si="482"/>
        <v>19.536000000000001</v>
      </c>
      <c r="Q1899" s="7">
        <f t="shared" si="483"/>
        <v>88.478260869565219</v>
      </c>
      <c r="R1899" s="2">
        <v>1.2</v>
      </c>
      <c r="S1899" s="2">
        <f t="shared" ref="S1899:S1962" si="486">IF(Q1899&lt;=$AE$6,$AF$6,IF(Q1899&lt;=$AE$7,$AF$7,IF(Q1899&lt;=$AE$8,$AF$8,IF(Q1899&lt;=$AE$9,$AF$9,IF(Q1899&lt;=$AE$10,$AF$10,0)))))</f>
        <v>4.45</v>
      </c>
      <c r="T1899" s="2"/>
      <c r="U1899" s="2"/>
      <c r="Y1899" s="8">
        <f t="shared" si="484"/>
        <v>3.1498260869565216</v>
      </c>
    </row>
    <row r="1900" spans="1:25" x14ac:dyDescent="0.25">
      <c r="A1900" s="34">
        <f t="shared" si="479"/>
        <v>1888</v>
      </c>
      <c r="B1900" s="34"/>
      <c r="C1900" s="57" t="s">
        <v>431</v>
      </c>
      <c r="D1900" s="44" t="s">
        <v>58</v>
      </c>
      <c r="E1900" s="43"/>
      <c r="F1900" s="36">
        <v>0.104106</v>
      </c>
      <c r="G1900" s="36">
        <f t="shared" ref="G1900:G1963" si="487">F1900*0.197</f>
        <v>2.0508882000000003E-2</v>
      </c>
      <c r="H1900" s="36">
        <v>1.9040000000000001E-2</v>
      </c>
      <c r="I1900" s="36">
        <f t="shared" ref="I1900:I1963" si="488">H1900*0.15</f>
        <v>2.856E-3</v>
      </c>
      <c r="J1900" s="32">
        <f t="shared" si="485"/>
        <v>4.2364000000000006E-2</v>
      </c>
      <c r="K1900" s="33">
        <f t="shared" si="480"/>
        <v>6.354600000000001E-3</v>
      </c>
      <c r="L1900" s="52"/>
      <c r="O1900" s="2">
        <f t="shared" si="481"/>
        <v>7.9333333333333339E-3</v>
      </c>
      <c r="P1900" s="2">
        <f t="shared" si="482"/>
        <v>5.7120000000000006</v>
      </c>
      <c r="Q1900" s="7">
        <f t="shared" si="483"/>
        <v>25.869565217391308</v>
      </c>
      <c r="R1900" s="2">
        <v>1.2</v>
      </c>
      <c r="S1900" s="2">
        <f t="shared" si="486"/>
        <v>4.45</v>
      </c>
      <c r="T1900" s="2"/>
      <c r="U1900" s="2"/>
      <c r="Y1900" s="8">
        <f t="shared" si="484"/>
        <v>0.92095652173913056</v>
      </c>
    </row>
    <row r="1901" spans="1:25" x14ac:dyDescent="0.25">
      <c r="A1901" s="34">
        <f t="shared" ref="A1901:B1957" si="489">A1900+1</f>
        <v>1889</v>
      </c>
      <c r="B1901" s="34"/>
      <c r="C1901" s="57" t="s">
        <v>431</v>
      </c>
      <c r="D1901" s="44" t="s">
        <v>101</v>
      </c>
      <c r="E1901" s="43"/>
      <c r="F1901" s="36">
        <v>0.26012200000000002</v>
      </c>
      <c r="G1901" s="36">
        <f t="shared" si="487"/>
        <v>5.1244034000000008E-2</v>
      </c>
      <c r="H1901" s="36">
        <v>3.6089999999999997E-2</v>
      </c>
      <c r="I1901" s="36">
        <f t="shared" si="488"/>
        <v>5.413499999999999E-3</v>
      </c>
      <c r="J1901" s="32">
        <f t="shared" si="485"/>
        <v>8.0300250000000004E-2</v>
      </c>
      <c r="K1901" s="33">
        <f t="shared" si="480"/>
        <v>1.2045037499999999E-2</v>
      </c>
      <c r="L1901" s="52"/>
      <c r="O1901" s="2">
        <f t="shared" si="481"/>
        <v>1.5037499999999999E-2</v>
      </c>
      <c r="P1901" s="2">
        <f t="shared" si="482"/>
        <v>10.827</v>
      </c>
      <c r="Q1901" s="7">
        <f t="shared" si="483"/>
        <v>49.035326086956523</v>
      </c>
      <c r="R1901" s="2">
        <v>1.2</v>
      </c>
      <c r="S1901" s="2">
        <f t="shared" si="486"/>
        <v>4.45</v>
      </c>
      <c r="T1901" s="2"/>
      <c r="U1901" s="2"/>
      <c r="Y1901" s="8">
        <f t="shared" si="484"/>
        <v>1.7456576086956523</v>
      </c>
    </row>
    <row r="1902" spans="1:25" x14ac:dyDescent="0.25">
      <c r="A1902" s="34">
        <f t="shared" si="489"/>
        <v>1890</v>
      </c>
      <c r="B1902" s="34"/>
      <c r="C1902" s="57" t="s">
        <v>431</v>
      </c>
      <c r="D1902" s="44" t="s">
        <v>105</v>
      </c>
      <c r="E1902" s="43"/>
      <c r="F1902" s="36">
        <v>9.6450999999999995E-2</v>
      </c>
      <c r="G1902" s="36">
        <f t="shared" si="487"/>
        <v>1.9000847000000001E-2</v>
      </c>
      <c r="H1902" s="36">
        <v>1.406E-2</v>
      </c>
      <c r="I1902" s="36">
        <f t="shared" si="488"/>
        <v>2.1089999999999998E-3</v>
      </c>
      <c r="J1902" s="32">
        <f t="shared" si="485"/>
        <v>3.1283499999999999E-2</v>
      </c>
      <c r="K1902" s="33">
        <f t="shared" si="480"/>
        <v>4.6925249999999995E-3</v>
      </c>
      <c r="L1902" s="52"/>
      <c r="O1902" s="2">
        <f t="shared" si="481"/>
        <v>5.8583333333333334E-3</v>
      </c>
      <c r="P1902" s="2">
        <f t="shared" si="482"/>
        <v>4.218</v>
      </c>
      <c r="Q1902" s="7">
        <f t="shared" si="483"/>
        <v>19.103260869565219</v>
      </c>
      <c r="R1902" s="2">
        <v>1.2</v>
      </c>
      <c r="S1902" s="2">
        <f t="shared" si="486"/>
        <v>4.45</v>
      </c>
      <c r="T1902" s="2"/>
      <c r="U1902" s="2"/>
      <c r="Y1902" s="8">
        <f t="shared" si="484"/>
        <v>0.68007608695652166</v>
      </c>
    </row>
    <row r="1903" spans="1:25" x14ac:dyDescent="0.25">
      <c r="A1903" s="34">
        <f t="shared" si="489"/>
        <v>1891</v>
      </c>
      <c r="B1903" s="34"/>
      <c r="C1903" s="57" t="s">
        <v>432</v>
      </c>
      <c r="D1903" s="44" t="s">
        <v>480</v>
      </c>
      <c r="E1903" s="43"/>
      <c r="F1903" s="36">
        <v>0.20086200000000001</v>
      </c>
      <c r="G1903" s="36">
        <f t="shared" si="487"/>
        <v>3.9569814000000002E-2</v>
      </c>
      <c r="H1903" s="36">
        <v>2.2079999999999999E-2</v>
      </c>
      <c r="I1903" s="36">
        <f t="shared" si="488"/>
        <v>3.3119999999999998E-3</v>
      </c>
      <c r="J1903" s="32">
        <f t="shared" si="485"/>
        <v>4.9127999999999998E-2</v>
      </c>
      <c r="K1903" s="33">
        <f t="shared" si="480"/>
        <v>7.3691999999999994E-3</v>
      </c>
      <c r="L1903" s="52"/>
      <c r="O1903" s="2">
        <f t="shared" si="481"/>
        <v>9.1999999999999998E-3</v>
      </c>
      <c r="P1903" s="2">
        <f t="shared" si="482"/>
        <v>6.6239999999999997</v>
      </c>
      <c r="Q1903" s="7">
        <f t="shared" si="483"/>
        <v>30</v>
      </c>
      <c r="R1903" s="2">
        <v>1.2</v>
      </c>
      <c r="S1903" s="2">
        <f t="shared" si="486"/>
        <v>4.45</v>
      </c>
      <c r="T1903" s="2"/>
      <c r="U1903" s="2"/>
      <c r="Y1903" s="8">
        <f t="shared" si="484"/>
        <v>1.0679999999999998</v>
      </c>
    </row>
    <row r="1904" spans="1:25" x14ac:dyDescent="0.25">
      <c r="A1904" s="34">
        <f t="shared" si="489"/>
        <v>1892</v>
      </c>
      <c r="B1904" s="34"/>
      <c r="C1904" s="57" t="s">
        <v>432</v>
      </c>
      <c r="D1904" s="44" t="s">
        <v>481</v>
      </c>
      <c r="E1904" s="43"/>
      <c r="F1904" s="36">
        <v>0.32583899999999999</v>
      </c>
      <c r="G1904" s="36">
        <f t="shared" si="487"/>
        <v>6.4190283000000001E-2</v>
      </c>
      <c r="H1904" s="36">
        <v>7.2863999999999998E-2</v>
      </c>
      <c r="I1904" s="36">
        <f t="shared" si="488"/>
        <v>1.0929599999999999E-2</v>
      </c>
      <c r="J1904" s="32">
        <f t="shared" si="485"/>
        <v>0.1621224</v>
      </c>
      <c r="K1904" s="33">
        <f t="shared" si="480"/>
        <v>2.4318360000000001E-2</v>
      </c>
      <c r="L1904" s="52"/>
      <c r="O1904" s="2">
        <f t="shared" si="481"/>
        <v>3.0360000000000002E-2</v>
      </c>
      <c r="P1904" s="2">
        <f t="shared" si="482"/>
        <v>21.859200000000001</v>
      </c>
      <c r="Q1904" s="7">
        <f t="shared" si="483"/>
        <v>99.000000000000014</v>
      </c>
      <c r="R1904" s="2">
        <v>1.2</v>
      </c>
      <c r="S1904" s="2">
        <f t="shared" si="486"/>
        <v>4.45</v>
      </c>
      <c r="T1904" s="2"/>
      <c r="U1904" s="2"/>
      <c r="Y1904" s="8">
        <f t="shared" si="484"/>
        <v>3.5244</v>
      </c>
    </row>
    <row r="1905" spans="1:25" ht="30" x14ac:dyDescent="0.25">
      <c r="A1905" s="34">
        <f t="shared" si="489"/>
        <v>1893</v>
      </c>
      <c r="B1905" s="34"/>
      <c r="C1905" s="57" t="s">
        <v>432</v>
      </c>
      <c r="D1905" s="43" t="s">
        <v>482</v>
      </c>
      <c r="E1905" s="43"/>
      <c r="F1905" s="36">
        <v>0.38500400000000001</v>
      </c>
      <c r="G1905" s="36">
        <f t="shared" si="487"/>
        <v>7.5845788000000011E-2</v>
      </c>
      <c r="H1905" s="36">
        <v>7.0300000000000001E-2</v>
      </c>
      <c r="I1905" s="36">
        <f t="shared" si="488"/>
        <v>1.0545000000000001E-2</v>
      </c>
      <c r="J1905" s="32">
        <f t="shared" si="485"/>
        <v>0.15641750000000001</v>
      </c>
      <c r="K1905" s="33">
        <f t="shared" si="480"/>
        <v>2.3462625000000001E-2</v>
      </c>
      <c r="L1905" s="52"/>
      <c r="O1905" s="2">
        <f t="shared" si="481"/>
        <v>2.9291666666666667E-2</v>
      </c>
      <c r="P1905" s="2">
        <f t="shared" si="482"/>
        <v>21.090000000000003</v>
      </c>
      <c r="Q1905" s="7">
        <f t="shared" si="483"/>
        <v>95.516304347826107</v>
      </c>
      <c r="R1905" s="2">
        <v>1.2</v>
      </c>
      <c r="S1905" s="2">
        <f t="shared" si="486"/>
        <v>4.45</v>
      </c>
      <c r="T1905" s="2"/>
      <c r="U1905" s="2"/>
      <c r="Y1905" s="8">
        <f t="shared" si="484"/>
        <v>3.4003804347826088</v>
      </c>
    </row>
    <row r="1906" spans="1:25" ht="30" x14ac:dyDescent="0.25">
      <c r="A1906" s="34">
        <f t="shared" si="489"/>
        <v>1894</v>
      </c>
      <c r="B1906" s="34"/>
      <c r="C1906" s="57" t="s">
        <v>432</v>
      </c>
      <c r="D1906" s="43" t="s">
        <v>483</v>
      </c>
      <c r="E1906" s="43"/>
      <c r="F1906" s="36">
        <v>0.29091499999999998</v>
      </c>
      <c r="G1906" s="36">
        <f t="shared" si="487"/>
        <v>5.7310254999999997E-2</v>
      </c>
      <c r="H1906" s="36">
        <v>4.4400000000000002E-2</v>
      </c>
      <c r="I1906" s="36">
        <f t="shared" si="488"/>
        <v>6.6600000000000001E-3</v>
      </c>
      <c r="J1906" s="32">
        <f t="shared" si="485"/>
        <v>9.8790000000000003E-2</v>
      </c>
      <c r="K1906" s="33">
        <f t="shared" si="480"/>
        <v>1.48185E-2</v>
      </c>
      <c r="L1906" s="52"/>
      <c r="O1906" s="2">
        <f t="shared" si="481"/>
        <v>1.8500000000000003E-2</v>
      </c>
      <c r="P1906" s="2">
        <f t="shared" si="482"/>
        <v>13.320000000000002</v>
      </c>
      <c r="Q1906" s="7">
        <f t="shared" si="483"/>
        <v>60.326086956521749</v>
      </c>
      <c r="R1906" s="2">
        <v>1.2</v>
      </c>
      <c r="S1906" s="2">
        <f t="shared" si="486"/>
        <v>4.45</v>
      </c>
      <c r="T1906" s="2"/>
      <c r="U1906" s="2"/>
      <c r="Y1906" s="8">
        <f t="shared" si="484"/>
        <v>2.147608695652174</v>
      </c>
    </row>
    <row r="1907" spans="1:25" ht="30" x14ac:dyDescent="0.25">
      <c r="A1907" s="34">
        <f t="shared" si="489"/>
        <v>1895</v>
      </c>
      <c r="B1907" s="34"/>
      <c r="C1907" s="57" t="s">
        <v>432</v>
      </c>
      <c r="D1907" s="43" t="s">
        <v>484</v>
      </c>
      <c r="E1907" s="43"/>
      <c r="F1907" s="36">
        <v>0.48706300000000002</v>
      </c>
      <c r="G1907" s="36">
        <f t="shared" si="487"/>
        <v>9.5951411000000014E-2</v>
      </c>
      <c r="H1907" s="36">
        <v>7.9920000000000005E-2</v>
      </c>
      <c r="I1907" s="36">
        <f t="shared" si="488"/>
        <v>1.1988E-2</v>
      </c>
      <c r="J1907" s="32">
        <f t="shared" si="485"/>
        <v>0.17782200000000001</v>
      </c>
      <c r="K1907" s="33">
        <f t="shared" si="480"/>
        <v>2.66733E-2</v>
      </c>
      <c r="L1907" s="52"/>
      <c r="O1907" s="2">
        <f t="shared" si="481"/>
        <v>3.3300000000000003E-2</v>
      </c>
      <c r="P1907" s="2">
        <f t="shared" si="482"/>
        <v>23.976000000000003</v>
      </c>
      <c r="Q1907" s="7">
        <f t="shared" si="483"/>
        <v>108.58695652173914</v>
      </c>
      <c r="R1907" s="2">
        <v>1.2</v>
      </c>
      <c r="S1907" s="2">
        <f t="shared" si="486"/>
        <v>4.45</v>
      </c>
      <c r="T1907" s="2"/>
      <c r="U1907" s="2"/>
      <c r="Y1907" s="8">
        <f t="shared" si="484"/>
        <v>3.8656956521739132</v>
      </c>
    </row>
    <row r="1908" spans="1:25" ht="30" x14ac:dyDescent="0.25">
      <c r="A1908" s="34">
        <f t="shared" si="489"/>
        <v>1896</v>
      </c>
      <c r="B1908" s="34"/>
      <c r="C1908" s="57" t="s">
        <v>432</v>
      </c>
      <c r="D1908" s="43" t="s">
        <v>485</v>
      </c>
      <c r="E1908" s="43"/>
      <c r="F1908" s="36">
        <v>0.23214199999999999</v>
      </c>
      <c r="G1908" s="36">
        <f t="shared" si="487"/>
        <v>4.5731974000000002E-2</v>
      </c>
      <c r="H1908" s="36">
        <v>3.5520000000000003E-2</v>
      </c>
      <c r="I1908" s="36">
        <f t="shared" si="488"/>
        <v>5.3280000000000003E-3</v>
      </c>
      <c r="J1908" s="32">
        <f t="shared" si="485"/>
        <v>7.9032000000000005E-2</v>
      </c>
      <c r="K1908" s="33">
        <f t="shared" si="480"/>
        <v>1.18548E-2</v>
      </c>
      <c r="L1908" s="52"/>
      <c r="O1908" s="2">
        <f t="shared" si="481"/>
        <v>1.4800000000000002E-2</v>
      </c>
      <c r="P1908" s="2">
        <f t="shared" si="482"/>
        <v>10.656000000000002</v>
      </c>
      <c r="Q1908" s="7">
        <f t="shared" si="483"/>
        <v>48.260869565217405</v>
      </c>
      <c r="R1908" s="2">
        <v>1.2</v>
      </c>
      <c r="S1908" s="2">
        <f t="shared" si="486"/>
        <v>4.45</v>
      </c>
      <c r="T1908" s="2"/>
      <c r="U1908" s="2"/>
      <c r="Y1908" s="8">
        <f t="shared" si="484"/>
        <v>1.7180869565217392</v>
      </c>
    </row>
    <row r="1909" spans="1:25" x14ac:dyDescent="0.25">
      <c r="A1909" s="34">
        <f t="shared" si="489"/>
        <v>1897</v>
      </c>
      <c r="B1909" s="34"/>
      <c r="C1909" s="57" t="s">
        <v>432</v>
      </c>
      <c r="D1909" s="43">
        <v>190</v>
      </c>
      <c r="E1909" s="43"/>
      <c r="F1909" s="36">
        <v>0.14846899999999999</v>
      </c>
      <c r="G1909" s="36">
        <f t="shared" si="487"/>
        <v>2.9248392999999998E-2</v>
      </c>
      <c r="H1909" s="36">
        <v>0.101566</v>
      </c>
      <c r="I1909" s="36">
        <f t="shared" si="488"/>
        <v>1.5234899999999999E-2</v>
      </c>
      <c r="J1909" s="32">
        <f t="shared" si="485"/>
        <v>0.22598435000000003</v>
      </c>
      <c r="K1909" s="33">
        <f t="shared" si="480"/>
        <v>3.38976525E-2</v>
      </c>
      <c r="L1909" s="52"/>
      <c r="O1909" s="2">
        <f t="shared" si="481"/>
        <v>4.2319166666666672E-2</v>
      </c>
      <c r="P1909" s="2">
        <f t="shared" si="482"/>
        <v>30.469799999999999</v>
      </c>
      <c r="Q1909" s="7">
        <f t="shared" si="483"/>
        <v>137.99728260869566</v>
      </c>
      <c r="R1909" s="2">
        <v>1.2</v>
      </c>
      <c r="S1909" s="2">
        <f t="shared" si="486"/>
        <v>4.45</v>
      </c>
      <c r="T1909" s="2"/>
      <c r="U1909" s="2"/>
      <c r="Y1909" s="8">
        <f t="shared" si="484"/>
        <v>4.9127032608695655</v>
      </c>
    </row>
    <row r="1910" spans="1:25" ht="30" x14ac:dyDescent="0.25">
      <c r="A1910" s="34">
        <f t="shared" si="489"/>
        <v>1898</v>
      </c>
      <c r="B1910" s="34"/>
      <c r="C1910" s="57" t="s">
        <v>432</v>
      </c>
      <c r="D1910" s="43" t="s">
        <v>486</v>
      </c>
      <c r="E1910" s="43"/>
      <c r="F1910" s="36">
        <v>0.28759299999999999</v>
      </c>
      <c r="G1910" s="36">
        <f t="shared" si="487"/>
        <v>5.6655821000000002E-2</v>
      </c>
      <c r="H1910" s="36">
        <v>6.9260000000000002E-2</v>
      </c>
      <c r="I1910" s="36">
        <f t="shared" si="488"/>
        <v>1.0389000000000001E-2</v>
      </c>
      <c r="J1910" s="32">
        <f t="shared" si="485"/>
        <v>0.1541035</v>
      </c>
      <c r="K1910" s="33">
        <f t="shared" si="480"/>
        <v>2.3115525000000001E-2</v>
      </c>
      <c r="L1910" s="52"/>
      <c r="O1910" s="2">
        <f t="shared" si="481"/>
        <v>2.8858333333333337E-2</v>
      </c>
      <c r="P1910" s="2">
        <f t="shared" si="482"/>
        <v>20.778000000000002</v>
      </c>
      <c r="Q1910" s="7">
        <f t="shared" si="483"/>
        <v>94.103260869565233</v>
      </c>
      <c r="R1910" s="2">
        <v>1.2</v>
      </c>
      <c r="S1910" s="2">
        <f t="shared" si="486"/>
        <v>4.45</v>
      </c>
      <c r="T1910" s="2"/>
      <c r="U1910" s="2"/>
      <c r="Y1910" s="8">
        <f t="shared" si="484"/>
        <v>3.350076086956522</v>
      </c>
    </row>
    <row r="1911" spans="1:25" x14ac:dyDescent="0.25">
      <c r="A1911" s="34">
        <f t="shared" si="489"/>
        <v>1899</v>
      </c>
      <c r="B1911" s="34"/>
      <c r="C1911" s="57" t="s">
        <v>432</v>
      </c>
      <c r="D1911" s="43">
        <v>191</v>
      </c>
      <c r="E1911" s="43"/>
      <c r="F1911" s="36">
        <v>0.13925699999999999</v>
      </c>
      <c r="G1911" s="36">
        <f t="shared" si="487"/>
        <v>2.7433629000000001E-2</v>
      </c>
      <c r="H1911" s="36">
        <v>1.3246000000000001E-2</v>
      </c>
      <c r="I1911" s="36">
        <f t="shared" si="488"/>
        <v>1.9869000000000002E-3</v>
      </c>
      <c r="J1911" s="32">
        <f t="shared" si="485"/>
        <v>2.9472350000000001E-2</v>
      </c>
      <c r="K1911" s="33">
        <f t="shared" si="480"/>
        <v>4.4208525E-3</v>
      </c>
      <c r="L1911" s="52"/>
      <c r="O1911" s="2">
        <f t="shared" si="481"/>
        <v>5.519166666666667E-3</v>
      </c>
      <c r="P1911" s="2">
        <f t="shared" si="482"/>
        <v>3.9738000000000007</v>
      </c>
      <c r="Q1911" s="7">
        <f t="shared" si="483"/>
        <v>17.997282608695656</v>
      </c>
      <c r="R1911" s="2">
        <v>1.2</v>
      </c>
      <c r="S1911" s="2">
        <f t="shared" si="486"/>
        <v>4.45</v>
      </c>
      <c r="T1911" s="2"/>
      <c r="U1911" s="2"/>
      <c r="Y1911" s="8">
        <f t="shared" si="484"/>
        <v>0.64070326086956531</v>
      </c>
    </row>
    <row r="1912" spans="1:25" x14ac:dyDescent="0.25">
      <c r="A1912" s="34">
        <f t="shared" si="489"/>
        <v>1900</v>
      </c>
      <c r="B1912" s="34"/>
      <c r="C1912" s="57" t="s">
        <v>432</v>
      </c>
      <c r="D1912" s="43" t="s">
        <v>487</v>
      </c>
      <c r="E1912" s="43"/>
      <c r="F1912" s="36">
        <v>0.134323</v>
      </c>
      <c r="G1912" s="36">
        <f t="shared" si="487"/>
        <v>2.6461630999999999E-2</v>
      </c>
      <c r="H1912" s="36">
        <v>5.5199999999999999E-2</v>
      </c>
      <c r="I1912" s="36">
        <f t="shared" si="488"/>
        <v>8.2799999999999992E-3</v>
      </c>
      <c r="J1912" s="32">
        <f t="shared" si="485"/>
        <v>0.12282</v>
      </c>
      <c r="K1912" s="33">
        <f t="shared" si="480"/>
        <v>1.8422999999999998E-2</v>
      </c>
      <c r="L1912" s="52"/>
      <c r="O1912" s="2">
        <f t="shared" si="481"/>
        <v>2.3E-2</v>
      </c>
      <c r="P1912" s="2">
        <f t="shared" si="482"/>
        <v>16.560000000000002</v>
      </c>
      <c r="Q1912" s="7">
        <f t="shared" si="483"/>
        <v>75.000000000000014</v>
      </c>
      <c r="R1912" s="2">
        <v>1.2</v>
      </c>
      <c r="S1912" s="2">
        <f t="shared" si="486"/>
        <v>4.45</v>
      </c>
      <c r="T1912" s="2"/>
      <c r="U1912" s="2"/>
      <c r="Y1912" s="8">
        <f t="shared" si="484"/>
        <v>2.67</v>
      </c>
    </row>
    <row r="1913" spans="1:25" x14ac:dyDescent="0.25">
      <c r="A1913" s="34">
        <f t="shared" si="489"/>
        <v>1901</v>
      </c>
      <c r="B1913" s="34"/>
      <c r="C1913" s="57" t="s">
        <v>488</v>
      </c>
      <c r="D1913" s="43">
        <v>2</v>
      </c>
      <c r="E1913" s="43"/>
      <c r="F1913" s="36">
        <v>0.36790099999999998</v>
      </c>
      <c r="G1913" s="36">
        <f t="shared" si="487"/>
        <v>7.2476497000000001E-2</v>
      </c>
      <c r="H1913" s="36">
        <v>0.14108999999999999</v>
      </c>
      <c r="I1913" s="36">
        <f t="shared" si="488"/>
        <v>2.1163499999999998E-2</v>
      </c>
      <c r="J1913" s="32">
        <f t="shared" si="485"/>
        <v>0.26101649999999998</v>
      </c>
      <c r="K1913" s="33">
        <f t="shared" si="480"/>
        <v>3.9152474999999999E-2</v>
      </c>
      <c r="L1913" s="52"/>
      <c r="O1913" s="2">
        <f t="shared" si="481"/>
        <v>5.8787499999999999E-2</v>
      </c>
      <c r="P1913" s="2">
        <f t="shared" si="482"/>
        <v>42.326999999999998</v>
      </c>
      <c r="Q1913" s="7">
        <f t="shared" si="483"/>
        <v>191.69836956521738</v>
      </c>
      <c r="R1913" s="2">
        <v>1.2</v>
      </c>
      <c r="S1913" s="2">
        <f t="shared" si="486"/>
        <v>3.7</v>
      </c>
      <c r="T1913" s="2"/>
      <c r="U1913" s="2"/>
      <c r="Y1913" s="8">
        <f t="shared" si="484"/>
        <v>5.6742717391304343</v>
      </c>
    </row>
    <row r="1914" spans="1:25" x14ac:dyDescent="0.25">
      <c r="A1914" s="34">
        <f t="shared" si="489"/>
        <v>1902</v>
      </c>
      <c r="B1914" s="34"/>
      <c r="C1914" s="57" t="s">
        <v>488</v>
      </c>
      <c r="D1914" s="43">
        <v>4</v>
      </c>
      <c r="E1914" s="43"/>
      <c r="F1914" s="36">
        <v>0.30265900000000001</v>
      </c>
      <c r="G1914" s="36">
        <f t="shared" si="487"/>
        <v>5.9623823000000006E-2</v>
      </c>
      <c r="H1914" s="36">
        <v>0.128834</v>
      </c>
      <c r="I1914" s="36">
        <f t="shared" si="488"/>
        <v>1.9325100000000001E-2</v>
      </c>
      <c r="J1914" s="32">
        <f t="shared" si="485"/>
        <v>0.23834290000000002</v>
      </c>
      <c r="K1914" s="33">
        <f t="shared" si="480"/>
        <v>3.5751435000000005E-2</v>
      </c>
      <c r="L1914" s="52"/>
      <c r="O1914" s="2">
        <f t="shared" si="481"/>
        <v>5.3680833333333337E-2</v>
      </c>
      <c r="P1914" s="2">
        <f t="shared" si="482"/>
        <v>38.650199999999998</v>
      </c>
      <c r="Q1914" s="7">
        <f t="shared" si="483"/>
        <v>175.04619565217391</v>
      </c>
      <c r="R1914" s="2">
        <v>1.2</v>
      </c>
      <c r="S1914" s="2">
        <f t="shared" si="486"/>
        <v>3.7</v>
      </c>
      <c r="T1914" s="2"/>
      <c r="U1914" s="2"/>
      <c r="Y1914" s="8">
        <f t="shared" si="484"/>
        <v>5.1813673913043488</v>
      </c>
    </row>
    <row r="1915" spans="1:25" x14ac:dyDescent="0.25">
      <c r="A1915" s="34">
        <f t="shared" si="489"/>
        <v>1903</v>
      </c>
      <c r="B1915" s="34"/>
      <c r="C1915" s="57" t="s">
        <v>488</v>
      </c>
      <c r="D1915" s="43">
        <v>15</v>
      </c>
      <c r="E1915" s="43"/>
      <c r="F1915" s="36">
        <v>0.69700399999999996</v>
      </c>
      <c r="G1915" s="36">
        <f t="shared" si="487"/>
        <v>0.13730978799999999</v>
      </c>
      <c r="H1915" s="36">
        <v>0.13580999999999999</v>
      </c>
      <c r="I1915" s="36">
        <f t="shared" si="488"/>
        <v>2.0371499999999997E-2</v>
      </c>
      <c r="J1915" s="32">
        <f t="shared" si="485"/>
        <v>0.25124849999999999</v>
      </c>
      <c r="K1915" s="33">
        <f t="shared" si="480"/>
        <v>3.7687274999999999E-2</v>
      </c>
      <c r="L1915" s="52"/>
      <c r="O1915" s="2">
        <f t="shared" si="481"/>
        <v>5.6587499999999999E-2</v>
      </c>
      <c r="P1915" s="2">
        <f t="shared" si="482"/>
        <v>40.742999999999995</v>
      </c>
      <c r="Q1915" s="7">
        <f t="shared" si="483"/>
        <v>184.5244565217391</v>
      </c>
      <c r="R1915" s="2">
        <v>1.2</v>
      </c>
      <c r="S1915" s="2">
        <f t="shared" si="486"/>
        <v>3.7</v>
      </c>
      <c r="T1915" s="2"/>
      <c r="U1915" s="2"/>
      <c r="Y1915" s="8">
        <f t="shared" si="484"/>
        <v>5.4619239130434778</v>
      </c>
    </row>
    <row r="1916" spans="1:25" x14ac:dyDescent="0.25">
      <c r="A1916" s="34">
        <f t="shared" si="489"/>
        <v>1904</v>
      </c>
      <c r="B1916" s="34"/>
      <c r="C1916" s="57" t="s">
        <v>488</v>
      </c>
      <c r="D1916" s="43">
        <v>22</v>
      </c>
      <c r="E1916" s="43"/>
      <c r="F1916" s="36">
        <v>0.52273000000000003</v>
      </c>
      <c r="G1916" s="36">
        <f t="shared" si="487"/>
        <v>0.10297781000000002</v>
      </c>
      <c r="H1916" s="36">
        <v>8.3904000000000006E-2</v>
      </c>
      <c r="I1916" s="36">
        <f t="shared" si="488"/>
        <v>1.2585600000000001E-2</v>
      </c>
      <c r="J1916" s="32">
        <f t="shared" si="485"/>
        <v>0.18668640000000003</v>
      </c>
      <c r="K1916" s="33">
        <f t="shared" si="480"/>
        <v>2.8002960000000004E-2</v>
      </c>
      <c r="L1916" s="52"/>
      <c r="O1916" s="2">
        <f t="shared" si="481"/>
        <v>3.4960000000000005E-2</v>
      </c>
      <c r="P1916" s="2">
        <f t="shared" si="482"/>
        <v>25.171200000000002</v>
      </c>
      <c r="Q1916" s="7">
        <f t="shared" si="483"/>
        <v>114.00000000000001</v>
      </c>
      <c r="R1916" s="2">
        <v>1.2</v>
      </c>
      <c r="S1916" s="2">
        <f t="shared" si="486"/>
        <v>4.45</v>
      </c>
      <c r="T1916" s="2"/>
      <c r="U1916" s="2"/>
      <c r="Y1916" s="8">
        <f t="shared" si="484"/>
        <v>4.0584000000000007</v>
      </c>
    </row>
    <row r="1917" spans="1:25" x14ac:dyDescent="0.25">
      <c r="A1917" s="34">
        <f t="shared" si="489"/>
        <v>1905</v>
      </c>
      <c r="B1917" s="34"/>
      <c r="C1917" s="57" t="s">
        <v>488</v>
      </c>
      <c r="D1917" s="43" t="s">
        <v>107</v>
      </c>
      <c r="E1917" s="43"/>
      <c r="F1917" s="36">
        <v>0.304456</v>
      </c>
      <c r="G1917" s="36">
        <f t="shared" si="487"/>
        <v>5.9977832000000002E-2</v>
      </c>
      <c r="H1917" s="36">
        <v>9.0400999999999995E-2</v>
      </c>
      <c r="I1917" s="36">
        <f t="shared" si="488"/>
        <v>1.3560149999999998E-2</v>
      </c>
      <c r="J1917" s="32">
        <f t="shared" si="485"/>
        <v>0.20114222500000001</v>
      </c>
      <c r="K1917" s="33">
        <f t="shared" si="480"/>
        <v>3.0171333750000001E-2</v>
      </c>
      <c r="L1917" s="52"/>
      <c r="O1917" s="2">
        <f t="shared" si="481"/>
        <v>3.766708333333333E-2</v>
      </c>
      <c r="P1917" s="2">
        <f t="shared" si="482"/>
        <v>27.1203</v>
      </c>
      <c r="Q1917" s="7">
        <f t="shared" si="483"/>
        <v>122.82744565217392</v>
      </c>
      <c r="R1917" s="2">
        <v>1.2</v>
      </c>
      <c r="S1917" s="2">
        <f t="shared" si="486"/>
        <v>4.45</v>
      </c>
      <c r="T1917" s="2"/>
      <c r="U1917" s="2"/>
      <c r="Y1917" s="8">
        <f t="shared" si="484"/>
        <v>4.3726570652173917</v>
      </c>
    </row>
    <row r="1918" spans="1:25" x14ac:dyDescent="0.25">
      <c r="A1918" s="34">
        <f t="shared" si="489"/>
        <v>1906</v>
      </c>
      <c r="B1918" s="34"/>
      <c r="C1918" s="57" t="s">
        <v>488</v>
      </c>
      <c r="D1918" s="43" t="s">
        <v>489</v>
      </c>
      <c r="E1918" s="43"/>
      <c r="F1918" s="36">
        <v>0.162996</v>
      </c>
      <c r="G1918" s="36">
        <f t="shared" si="487"/>
        <v>3.2110211999999999E-2</v>
      </c>
      <c r="H1918" s="36">
        <v>4.6753999999999997E-2</v>
      </c>
      <c r="I1918" s="36">
        <f t="shared" si="488"/>
        <v>7.0130999999999995E-3</v>
      </c>
      <c r="J1918" s="32">
        <f t="shared" si="485"/>
        <v>0.10402765</v>
      </c>
      <c r="K1918" s="33">
        <f t="shared" si="480"/>
        <v>1.5604147499999999E-2</v>
      </c>
      <c r="L1918" s="52"/>
      <c r="O1918" s="2">
        <f t="shared" si="481"/>
        <v>1.9480833333333333E-2</v>
      </c>
      <c r="P1918" s="2">
        <f t="shared" si="482"/>
        <v>14.026199999999999</v>
      </c>
      <c r="Q1918" s="7">
        <f t="shared" si="483"/>
        <v>63.524456521739125</v>
      </c>
      <c r="R1918" s="2">
        <v>1.2</v>
      </c>
      <c r="S1918" s="2">
        <f t="shared" si="486"/>
        <v>4.45</v>
      </c>
      <c r="T1918" s="2"/>
      <c r="U1918" s="2"/>
      <c r="Y1918" s="8">
        <f t="shared" si="484"/>
        <v>2.2614706521739132</v>
      </c>
    </row>
    <row r="1919" spans="1:25" x14ac:dyDescent="0.25">
      <c r="A1919" s="34">
        <f t="shared" si="489"/>
        <v>1907</v>
      </c>
      <c r="B1919" s="34"/>
      <c r="C1919" s="57" t="s">
        <v>488</v>
      </c>
      <c r="D1919" s="43" t="s">
        <v>115</v>
      </c>
      <c r="E1919" s="43"/>
      <c r="F1919" s="36">
        <v>0.16550000000000001</v>
      </c>
      <c r="G1919" s="36">
        <f t="shared" si="487"/>
        <v>3.2603500000000001E-2</v>
      </c>
      <c r="H1919" s="36">
        <v>2.0605999999999999E-2</v>
      </c>
      <c r="I1919" s="36">
        <f t="shared" si="488"/>
        <v>3.0908999999999997E-3</v>
      </c>
      <c r="J1919" s="32">
        <f t="shared" si="485"/>
        <v>4.584835000000001E-2</v>
      </c>
      <c r="K1919" s="33">
        <f t="shared" si="480"/>
        <v>6.877252500000001E-3</v>
      </c>
      <c r="L1919" s="52"/>
      <c r="O1919" s="2">
        <f t="shared" si="481"/>
        <v>8.5858333333333342E-3</v>
      </c>
      <c r="P1919" s="2">
        <f t="shared" si="482"/>
        <v>6.1818000000000008</v>
      </c>
      <c r="Q1919" s="7">
        <f t="shared" si="483"/>
        <v>27.997282608695656</v>
      </c>
      <c r="R1919" s="2">
        <v>1.2</v>
      </c>
      <c r="S1919" s="2">
        <f t="shared" si="486"/>
        <v>4.45</v>
      </c>
      <c r="T1919" s="2"/>
      <c r="U1919" s="2"/>
      <c r="Y1919" s="8">
        <f t="shared" si="484"/>
        <v>0.9967032608695654</v>
      </c>
    </row>
    <row r="1920" spans="1:25" x14ac:dyDescent="0.25">
      <c r="A1920" s="34">
        <f t="shared" si="489"/>
        <v>1908</v>
      </c>
      <c r="B1920" s="34"/>
      <c r="C1920" s="57" t="s">
        <v>488</v>
      </c>
      <c r="D1920" s="43">
        <v>56</v>
      </c>
      <c r="E1920" s="43"/>
      <c r="F1920" s="36">
        <v>0.14604900000000001</v>
      </c>
      <c r="G1920" s="36">
        <f t="shared" si="487"/>
        <v>2.8771653000000005E-2</v>
      </c>
      <c r="H1920" s="36">
        <v>2.6440000000000002E-2</v>
      </c>
      <c r="I1920" s="36">
        <f t="shared" si="488"/>
        <v>3.9659999999999999E-3</v>
      </c>
      <c r="J1920" s="32">
        <f t="shared" si="485"/>
        <v>5.8829000000000006E-2</v>
      </c>
      <c r="K1920" s="33">
        <f t="shared" si="480"/>
        <v>8.8243499999999999E-3</v>
      </c>
      <c r="L1920" s="52"/>
      <c r="O1920" s="2">
        <f t="shared" si="481"/>
        <v>1.1016666666666668E-2</v>
      </c>
      <c r="P1920" s="2">
        <f t="shared" si="482"/>
        <v>7.9320000000000004</v>
      </c>
      <c r="Q1920" s="7">
        <f t="shared" si="483"/>
        <v>35.923913043478265</v>
      </c>
      <c r="R1920" s="2">
        <v>1.2</v>
      </c>
      <c r="S1920" s="2">
        <f t="shared" si="486"/>
        <v>4.45</v>
      </c>
      <c r="T1920" s="2"/>
      <c r="U1920" s="2"/>
      <c r="Y1920" s="8">
        <f t="shared" si="484"/>
        <v>1.2788913043478261</v>
      </c>
    </row>
    <row r="1921" spans="1:25" x14ac:dyDescent="0.25">
      <c r="A1921" s="34">
        <f t="shared" si="489"/>
        <v>1909</v>
      </c>
      <c r="B1921" s="34"/>
      <c r="C1921" s="57" t="s">
        <v>488</v>
      </c>
      <c r="D1921" s="43" t="s">
        <v>328</v>
      </c>
      <c r="E1921" s="43"/>
      <c r="F1921" s="36">
        <v>0.13348499999999999</v>
      </c>
      <c r="G1921" s="36">
        <f t="shared" si="487"/>
        <v>2.6296545000000001E-2</v>
      </c>
      <c r="H1921" s="36">
        <v>1.6192999999999999E-2</v>
      </c>
      <c r="I1921" s="36">
        <f t="shared" si="488"/>
        <v>2.4289499999999996E-3</v>
      </c>
      <c r="J1921" s="32">
        <f t="shared" si="485"/>
        <v>3.6029424999999997E-2</v>
      </c>
      <c r="K1921" s="33">
        <f t="shared" si="480"/>
        <v>5.404413749999999E-3</v>
      </c>
      <c r="L1921" s="52"/>
      <c r="O1921" s="2">
        <f t="shared" si="481"/>
        <v>6.7470833333333332E-3</v>
      </c>
      <c r="P1921" s="2">
        <f t="shared" si="482"/>
        <v>4.8578999999999999</v>
      </c>
      <c r="Q1921" s="7">
        <f t="shared" si="483"/>
        <v>22.001358695652172</v>
      </c>
      <c r="R1921" s="2">
        <v>1.2</v>
      </c>
      <c r="S1921" s="2">
        <f t="shared" si="486"/>
        <v>4.45</v>
      </c>
      <c r="T1921" s="2"/>
      <c r="U1921" s="2"/>
      <c r="Y1921" s="8">
        <f t="shared" si="484"/>
        <v>0.78324836956521737</v>
      </c>
    </row>
    <row r="1922" spans="1:25" x14ac:dyDescent="0.25">
      <c r="A1922" s="34">
        <f t="shared" si="489"/>
        <v>1910</v>
      </c>
      <c r="B1922" s="34"/>
      <c r="C1922" s="57" t="s">
        <v>488</v>
      </c>
      <c r="D1922" s="43" t="s">
        <v>329</v>
      </c>
      <c r="E1922" s="43"/>
      <c r="F1922" s="36">
        <v>0.14172699999999999</v>
      </c>
      <c r="G1922" s="36">
        <f t="shared" si="487"/>
        <v>2.7920219E-2</v>
      </c>
      <c r="H1922" s="36">
        <v>2.3553999999999999E-2</v>
      </c>
      <c r="I1922" s="36">
        <f t="shared" si="488"/>
        <v>3.5330999999999995E-3</v>
      </c>
      <c r="J1922" s="32">
        <f t="shared" si="485"/>
        <v>5.2407650000000007E-2</v>
      </c>
      <c r="K1922" s="33">
        <f t="shared" si="480"/>
        <v>7.8611475000000004E-3</v>
      </c>
      <c r="L1922" s="52"/>
      <c r="O1922" s="2">
        <f t="shared" si="481"/>
        <v>9.8141666666666672E-3</v>
      </c>
      <c r="P1922" s="2">
        <f t="shared" si="482"/>
        <v>7.0662000000000011</v>
      </c>
      <c r="Q1922" s="7">
        <f t="shared" si="483"/>
        <v>32.002717391304351</v>
      </c>
      <c r="R1922" s="2">
        <v>1.2</v>
      </c>
      <c r="S1922" s="2">
        <f t="shared" si="486"/>
        <v>4.45</v>
      </c>
      <c r="T1922" s="2"/>
      <c r="U1922" s="2"/>
      <c r="Y1922" s="8">
        <f t="shared" si="484"/>
        <v>1.1392967391304349</v>
      </c>
    </row>
    <row r="1923" spans="1:25" x14ac:dyDescent="0.25">
      <c r="A1923" s="34">
        <f t="shared" si="489"/>
        <v>1911</v>
      </c>
      <c r="B1923" s="34"/>
      <c r="C1923" s="42" t="s">
        <v>490</v>
      </c>
      <c r="D1923" s="43">
        <v>28</v>
      </c>
      <c r="E1923" s="43"/>
      <c r="F1923" s="36">
        <v>0.48639500000000002</v>
      </c>
      <c r="G1923" s="36">
        <f t="shared" si="487"/>
        <v>9.5819815000000003E-2</v>
      </c>
      <c r="H1923" s="36">
        <v>7.6960000000000001E-2</v>
      </c>
      <c r="I1923" s="36">
        <f t="shared" si="488"/>
        <v>1.1544E-2</v>
      </c>
      <c r="J1923" s="32">
        <f t="shared" si="485"/>
        <v>0.171236</v>
      </c>
      <c r="K1923" s="33">
        <f t="shared" si="480"/>
        <v>2.5685400000000001E-2</v>
      </c>
      <c r="L1923" s="52"/>
      <c r="O1923" s="2">
        <f t="shared" si="481"/>
        <v>3.2066666666666667E-2</v>
      </c>
      <c r="P1923" s="2">
        <f t="shared" si="482"/>
        <v>23.088000000000001</v>
      </c>
      <c r="Q1923" s="7">
        <f t="shared" si="483"/>
        <v>104.56521739130436</v>
      </c>
      <c r="R1923" s="2">
        <v>1.2</v>
      </c>
      <c r="S1923" s="2">
        <f t="shared" si="486"/>
        <v>4.45</v>
      </c>
      <c r="T1923" s="2"/>
      <c r="U1923" s="2"/>
      <c r="Y1923" s="8">
        <f t="shared" si="484"/>
        <v>3.7225217391304346</v>
      </c>
    </row>
    <row r="1924" spans="1:25" x14ac:dyDescent="0.25">
      <c r="A1924" s="34">
        <f t="shared" si="489"/>
        <v>1912</v>
      </c>
      <c r="B1924" s="34"/>
      <c r="C1924" s="42" t="s">
        <v>490</v>
      </c>
      <c r="D1924" s="43">
        <v>33</v>
      </c>
      <c r="E1924" s="43"/>
      <c r="F1924" s="36">
        <v>0.22534799999999999</v>
      </c>
      <c r="G1924" s="36">
        <f t="shared" si="487"/>
        <v>4.4393556000000001E-2</v>
      </c>
      <c r="H1924" s="36">
        <v>3.3300000000000003E-2</v>
      </c>
      <c r="I1924" s="36">
        <f t="shared" si="488"/>
        <v>4.9950000000000003E-3</v>
      </c>
      <c r="J1924" s="32">
        <f t="shared" si="485"/>
        <v>7.4092500000000006E-2</v>
      </c>
      <c r="K1924" s="33">
        <f t="shared" si="480"/>
        <v>1.1113875E-2</v>
      </c>
      <c r="L1924" s="52"/>
      <c r="O1924" s="2">
        <f t="shared" si="481"/>
        <v>1.3875000000000002E-2</v>
      </c>
      <c r="P1924" s="2">
        <f t="shared" si="482"/>
        <v>9.990000000000002</v>
      </c>
      <c r="Q1924" s="7">
        <f t="shared" si="483"/>
        <v>45.244565217391312</v>
      </c>
      <c r="R1924" s="2">
        <v>1.2</v>
      </c>
      <c r="S1924" s="2">
        <f t="shared" si="486"/>
        <v>4.45</v>
      </c>
      <c r="T1924" s="2"/>
      <c r="U1924" s="2"/>
      <c r="Y1924" s="8">
        <f t="shared" si="484"/>
        <v>1.6107065217391305</v>
      </c>
    </row>
    <row r="1925" spans="1:25" x14ac:dyDescent="0.25">
      <c r="A1925" s="34">
        <f t="shared" si="489"/>
        <v>1913</v>
      </c>
      <c r="B1925" s="34" t="e">
        <f>#REF!+1</f>
        <v>#REF!</v>
      </c>
      <c r="C1925" s="42" t="s">
        <v>490</v>
      </c>
      <c r="D1925" s="43">
        <v>34</v>
      </c>
      <c r="E1925" s="43"/>
      <c r="F1925" s="36">
        <v>0.29883700000000002</v>
      </c>
      <c r="G1925" s="36">
        <f t="shared" si="487"/>
        <v>5.887088900000001E-2</v>
      </c>
      <c r="H1925" s="36">
        <v>8.3549999999999999E-2</v>
      </c>
      <c r="I1925" s="36">
        <f t="shared" si="488"/>
        <v>1.25325E-2</v>
      </c>
      <c r="J1925" s="32">
        <f t="shared" si="485"/>
        <v>0.18589875</v>
      </c>
      <c r="K1925" s="33">
        <f t="shared" si="480"/>
        <v>2.7884812499999998E-2</v>
      </c>
      <c r="L1925" s="52"/>
      <c r="O1925" s="2">
        <f t="shared" si="481"/>
        <v>3.4812500000000003E-2</v>
      </c>
      <c r="P1925" s="2">
        <f t="shared" si="482"/>
        <v>25.065000000000005</v>
      </c>
      <c r="Q1925" s="7">
        <f t="shared" si="483"/>
        <v>113.51902173913047</v>
      </c>
      <c r="R1925" s="2">
        <v>1.2</v>
      </c>
      <c r="S1925" s="2">
        <f t="shared" si="486"/>
        <v>4.45</v>
      </c>
      <c r="T1925" s="2"/>
      <c r="U1925" s="2"/>
      <c r="Y1925" s="8">
        <f t="shared" si="484"/>
        <v>4.041277173913044</v>
      </c>
    </row>
    <row r="1926" spans="1:25" x14ac:dyDescent="0.25">
      <c r="A1926" s="34">
        <f t="shared" si="489"/>
        <v>1914</v>
      </c>
      <c r="B1926" s="34" t="e">
        <f>B1925+1</f>
        <v>#REF!</v>
      </c>
      <c r="C1926" s="42" t="s">
        <v>490</v>
      </c>
      <c r="D1926" s="43">
        <v>95</v>
      </c>
      <c r="E1926" s="43"/>
      <c r="F1926" s="36">
        <v>0.112452</v>
      </c>
      <c r="G1926" s="36">
        <f t="shared" si="487"/>
        <v>2.2153044E-2</v>
      </c>
      <c r="H1926" s="36">
        <v>4.1189999999999997E-2</v>
      </c>
      <c r="I1926" s="36">
        <f t="shared" si="488"/>
        <v>6.1784999999999991E-3</v>
      </c>
      <c r="J1926" s="32">
        <f t="shared" si="485"/>
        <v>9.164775E-2</v>
      </c>
      <c r="K1926" s="33">
        <f t="shared" si="480"/>
        <v>1.37471625E-2</v>
      </c>
      <c r="L1926" s="52"/>
      <c r="O1926" s="2">
        <f t="shared" si="481"/>
        <v>1.7162500000000001E-2</v>
      </c>
      <c r="P1926" s="2">
        <f t="shared" si="482"/>
        <v>12.357000000000001</v>
      </c>
      <c r="Q1926" s="7">
        <f t="shared" si="483"/>
        <v>55.964673913043484</v>
      </c>
      <c r="R1926" s="2">
        <v>1.2</v>
      </c>
      <c r="S1926" s="2">
        <f t="shared" si="486"/>
        <v>4.45</v>
      </c>
      <c r="T1926" s="2"/>
      <c r="U1926" s="2"/>
      <c r="Y1926" s="8">
        <f t="shared" si="484"/>
        <v>1.9923423913043476</v>
      </c>
    </row>
    <row r="1927" spans="1:25" x14ac:dyDescent="0.25">
      <c r="A1927" s="34">
        <f t="shared" si="489"/>
        <v>1915</v>
      </c>
      <c r="B1927" s="34" t="e">
        <f>B1926+1</f>
        <v>#REF!</v>
      </c>
      <c r="C1927" s="42" t="s">
        <v>490</v>
      </c>
      <c r="D1927" s="43" t="s">
        <v>424</v>
      </c>
      <c r="E1927" s="43"/>
      <c r="F1927" s="36">
        <v>0.25226100000000001</v>
      </c>
      <c r="G1927" s="36">
        <f t="shared" si="487"/>
        <v>4.9695417000000006E-2</v>
      </c>
      <c r="H1927" s="36">
        <v>0.12631999999999999</v>
      </c>
      <c r="I1927" s="36">
        <f t="shared" si="488"/>
        <v>1.8947999999999996E-2</v>
      </c>
      <c r="J1927" s="32">
        <f t="shared" si="485"/>
        <v>0.23369199999999998</v>
      </c>
      <c r="K1927" s="33">
        <f t="shared" si="480"/>
        <v>3.5053799999999996E-2</v>
      </c>
      <c r="L1927" s="52"/>
      <c r="O1927" s="2">
        <f t="shared" si="481"/>
        <v>5.2633333333333331E-2</v>
      </c>
      <c r="P1927" s="2">
        <f t="shared" si="482"/>
        <v>37.895999999999994</v>
      </c>
      <c r="Q1927" s="7">
        <f t="shared" si="483"/>
        <v>171.63043478260866</v>
      </c>
      <c r="R1927" s="2">
        <v>1.2</v>
      </c>
      <c r="S1927" s="2">
        <f t="shared" si="486"/>
        <v>3.7</v>
      </c>
      <c r="T1927" s="2"/>
      <c r="U1927" s="2"/>
      <c r="Y1927" s="8">
        <f t="shared" si="484"/>
        <v>5.0802608695652172</v>
      </c>
    </row>
    <row r="1928" spans="1:25" x14ac:dyDescent="0.25">
      <c r="A1928" s="34">
        <f t="shared" si="489"/>
        <v>1916</v>
      </c>
      <c r="B1928" s="34"/>
      <c r="C1928" s="57" t="s">
        <v>436</v>
      </c>
      <c r="D1928" s="43">
        <v>99</v>
      </c>
      <c r="E1928" s="43"/>
      <c r="F1928" s="36">
        <v>0.16539200000000001</v>
      </c>
      <c r="G1928" s="36">
        <f t="shared" si="487"/>
        <v>3.2582224000000007E-2</v>
      </c>
      <c r="H1928" s="36">
        <v>2.1999999999999999E-2</v>
      </c>
      <c r="I1928" s="36">
        <f t="shared" si="488"/>
        <v>3.2999999999999995E-3</v>
      </c>
      <c r="J1928" s="32">
        <f t="shared" si="485"/>
        <v>4.895E-2</v>
      </c>
      <c r="K1928" s="33">
        <f t="shared" si="480"/>
        <v>7.3425000000000001E-3</v>
      </c>
      <c r="L1928" s="52"/>
      <c r="O1928" s="2">
        <f t="shared" si="481"/>
        <v>9.1666666666666667E-3</v>
      </c>
      <c r="P1928" s="2">
        <f t="shared" si="482"/>
        <v>6.6</v>
      </c>
      <c r="Q1928" s="7">
        <f t="shared" si="483"/>
        <v>29.891304347826086</v>
      </c>
      <c r="R1928" s="2">
        <v>1.2</v>
      </c>
      <c r="S1928" s="2">
        <f t="shared" si="486"/>
        <v>4.45</v>
      </c>
      <c r="T1928" s="2"/>
      <c r="U1928" s="2"/>
      <c r="Y1928" s="8">
        <f t="shared" si="484"/>
        <v>1.0641304347826088</v>
      </c>
    </row>
    <row r="1929" spans="1:25" x14ac:dyDescent="0.25">
      <c r="A1929" s="34">
        <f t="shared" si="489"/>
        <v>1917</v>
      </c>
      <c r="B1929" s="34"/>
      <c r="C1929" s="57" t="s">
        <v>436</v>
      </c>
      <c r="D1929" s="43">
        <v>101</v>
      </c>
      <c r="E1929" s="43"/>
      <c r="F1929" s="36">
        <v>0.14550199999999999</v>
      </c>
      <c r="G1929" s="36">
        <f t="shared" si="487"/>
        <v>2.8663893999999999E-2</v>
      </c>
      <c r="H1929" s="36">
        <v>2.5870000000000001E-2</v>
      </c>
      <c r="I1929" s="36">
        <f t="shared" si="488"/>
        <v>3.8804999999999998E-3</v>
      </c>
      <c r="J1929" s="32">
        <f t="shared" si="485"/>
        <v>5.7560750000000001E-2</v>
      </c>
      <c r="K1929" s="33">
        <f t="shared" si="480"/>
        <v>8.6341124999999991E-3</v>
      </c>
      <c r="L1929" s="52"/>
      <c r="O1929" s="2">
        <f t="shared" si="481"/>
        <v>1.0779166666666668E-2</v>
      </c>
      <c r="P1929" s="2">
        <f t="shared" si="482"/>
        <v>7.761000000000001</v>
      </c>
      <c r="Q1929" s="7">
        <f t="shared" si="483"/>
        <v>35.149456521739133</v>
      </c>
      <c r="R1929" s="2">
        <v>1.2</v>
      </c>
      <c r="S1929" s="2">
        <f t="shared" si="486"/>
        <v>4.45</v>
      </c>
      <c r="T1929" s="2"/>
      <c r="U1929" s="2"/>
      <c r="Y1929" s="8">
        <f t="shared" si="484"/>
        <v>1.2513206521739129</v>
      </c>
    </row>
    <row r="1930" spans="1:25" x14ac:dyDescent="0.25">
      <c r="A1930" s="34">
        <f t="shared" si="489"/>
        <v>1918</v>
      </c>
      <c r="B1930" s="34"/>
      <c r="C1930" s="57" t="s">
        <v>436</v>
      </c>
      <c r="D1930" s="43">
        <v>164</v>
      </c>
      <c r="E1930" s="43"/>
      <c r="F1930" s="36">
        <v>0.254575</v>
      </c>
      <c r="G1930" s="36">
        <f t="shared" si="487"/>
        <v>5.0151275000000002E-2</v>
      </c>
      <c r="H1930" s="36">
        <v>2.2817E-2</v>
      </c>
      <c r="I1930" s="36">
        <f t="shared" si="488"/>
        <v>3.4225499999999999E-3</v>
      </c>
      <c r="J1930" s="32">
        <f t="shared" si="485"/>
        <v>5.0767825000000003E-2</v>
      </c>
      <c r="K1930" s="33">
        <f t="shared" si="480"/>
        <v>7.6151737499999999E-3</v>
      </c>
      <c r="L1930" s="52"/>
      <c r="O1930" s="2">
        <f t="shared" si="481"/>
        <v>9.5070833333333344E-3</v>
      </c>
      <c r="P1930" s="2">
        <f t="shared" si="482"/>
        <v>6.8451000000000013</v>
      </c>
      <c r="Q1930" s="7">
        <f t="shared" si="483"/>
        <v>31.001358695652179</v>
      </c>
      <c r="R1930" s="2">
        <v>1.2</v>
      </c>
      <c r="S1930" s="2">
        <f t="shared" si="486"/>
        <v>4.45</v>
      </c>
      <c r="T1930" s="2"/>
      <c r="U1930" s="2"/>
      <c r="Y1930" s="8">
        <f t="shared" si="484"/>
        <v>1.1036483695652175</v>
      </c>
    </row>
    <row r="1931" spans="1:25" x14ac:dyDescent="0.25">
      <c r="A1931" s="34">
        <f t="shared" si="489"/>
        <v>1919</v>
      </c>
      <c r="B1931" s="34"/>
      <c r="C1931" s="57" t="s">
        <v>436</v>
      </c>
      <c r="D1931" s="43">
        <v>294</v>
      </c>
      <c r="E1931" s="43"/>
      <c r="F1931" s="36">
        <v>7.6915999999999998E-2</v>
      </c>
      <c r="G1931" s="36">
        <f t="shared" si="487"/>
        <v>1.5152452E-2</v>
      </c>
      <c r="H1931" s="36">
        <v>1.916E-2</v>
      </c>
      <c r="I1931" s="36">
        <f t="shared" si="488"/>
        <v>2.8739999999999998E-3</v>
      </c>
      <c r="J1931" s="32">
        <f t="shared" si="485"/>
        <v>4.2631000000000002E-2</v>
      </c>
      <c r="K1931" s="33">
        <f t="shared" ref="K1931:K1994" si="490">J1931*0.15</f>
        <v>6.39465E-3</v>
      </c>
      <c r="L1931" s="52"/>
      <c r="O1931" s="2">
        <f t="shared" si="481"/>
        <v>7.9833333333333336E-3</v>
      </c>
      <c r="P1931" s="2">
        <f t="shared" si="482"/>
        <v>5.7479999999999993</v>
      </c>
      <c r="Q1931" s="7">
        <f t="shared" si="483"/>
        <v>26.032608695652172</v>
      </c>
      <c r="R1931" s="2">
        <v>1.2</v>
      </c>
      <c r="S1931" s="2">
        <f t="shared" si="486"/>
        <v>4.45</v>
      </c>
      <c r="T1931" s="2"/>
      <c r="U1931" s="2"/>
      <c r="Y1931" s="8">
        <f t="shared" si="484"/>
        <v>0.92676086956521742</v>
      </c>
    </row>
    <row r="1932" spans="1:25" x14ac:dyDescent="0.25">
      <c r="A1932" s="34">
        <f t="shared" si="489"/>
        <v>1920</v>
      </c>
      <c r="B1932" s="34"/>
      <c r="C1932" s="57" t="s">
        <v>491</v>
      </c>
      <c r="D1932" s="43">
        <v>131</v>
      </c>
      <c r="E1932" s="43"/>
      <c r="F1932" s="36">
        <v>0.15442800000000001</v>
      </c>
      <c r="G1932" s="36">
        <f t="shared" si="487"/>
        <v>3.0422316000000005E-2</v>
      </c>
      <c r="H1932" s="36">
        <v>2.4420000000000001E-2</v>
      </c>
      <c r="I1932" s="36">
        <f t="shared" si="488"/>
        <v>3.663E-3</v>
      </c>
      <c r="J1932" s="32">
        <f t="shared" si="485"/>
        <v>5.4334500000000001E-2</v>
      </c>
      <c r="K1932" s="33">
        <f t="shared" si="490"/>
        <v>8.1501749999999991E-3</v>
      </c>
      <c r="L1932" s="52"/>
      <c r="O1932" s="2">
        <f t="shared" ref="O1932:O1995" si="491">H1932/2.4</f>
        <v>1.0175E-2</v>
      </c>
      <c r="P1932" s="2">
        <f t="shared" ref="P1932:P1995" si="492">O1932*24*30</f>
        <v>7.3259999999999996</v>
      </c>
      <c r="Q1932" s="7">
        <f t="shared" ref="Q1932:Q1995" si="493">P1932/0.2208</f>
        <v>33.179347826086953</v>
      </c>
      <c r="R1932" s="2">
        <v>1.2</v>
      </c>
      <c r="S1932" s="2">
        <f t="shared" si="486"/>
        <v>4.45</v>
      </c>
      <c r="T1932" s="2"/>
      <c r="U1932" s="2"/>
      <c r="Y1932" s="8">
        <f t="shared" si="484"/>
        <v>1.1811847826086956</v>
      </c>
    </row>
    <row r="1933" spans="1:25" x14ac:dyDescent="0.25">
      <c r="A1933" s="34">
        <f t="shared" si="489"/>
        <v>1921</v>
      </c>
      <c r="B1933" s="34"/>
      <c r="C1933" s="57" t="s">
        <v>491</v>
      </c>
      <c r="D1933" s="43">
        <v>178</v>
      </c>
      <c r="E1933" s="43"/>
      <c r="F1933" s="36">
        <v>0.21284</v>
      </c>
      <c r="G1933" s="36">
        <f t="shared" si="487"/>
        <v>4.1929480000000005E-2</v>
      </c>
      <c r="H1933" s="36">
        <v>7.1201E-2</v>
      </c>
      <c r="I1933" s="36">
        <f t="shared" si="488"/>
        <v>1.0680149999999999E-2</v>
      </c>
      <c r="J1933" s="32">
        <f t="shared" si="485"/>
        <v>0.158422225</v>
      </c>
      <c r="K1933" s="33">
        <f t="shared" si="490"/>
        <v>2.3763333750000001E-2</v>
      </c>
      <c r="L1933" s="52"/>
      <c r="O1933" s="2">
        <f t="shared" si="491"/>
        <v>2.9667083333333334E-2</v>
      </c>
      <c r="P1933" s="2">
        <f t="shared" si="492"/>
        <v>21.360300000000002</v>
      </c>
      <c r="Q1933" s="7">
        <f t="shared" si="493"/>
        <v>96.740489130434796</v>
      </c>
      <c r="R1933" s="2">
        <v>1.2</v>
      </c>
      <c r="S1933" s="2">
        <f t="shared" si="486"/>
        <v>4.45</v>
      </c>
      <c r="T1933" s="2"/>
      <c r="U1933" s="2"/>
      <c r="Y1933" s="8">
        <f t="shared" si="484"/>
        <v>3.4439614130434779</v>
      </c>
    </row>
    <row r="1934" spans="1:25" x14ac:dyDescent="0.25">
      <c r="A1934" s="34">
        <f t="shared" si="489"/>
        <v>1922</v>
      </c>
      <c r="B1934" s="34"/>
      <c r="C1934" s="57" t="s">
        <v>491</v>
      </c>
      <c r="D1934" s="43">
        <v>198</v>
      </c>
      <c r="E1934" s="43"/>
      <c r="F1934" s="36">
        <v>0.20514399999999999</v>
      </c>
      <c r="G1934" s="36">
        <f t="shared" si="487"/>
        <v>4.0413367999999998E-2</v>
      </c>
      <c r="H1934" s="36">
        <v>3.9960000000000002E-2</v>
      </c>
      <c r="I1934" s="36">
        <f t="shared" si="488"/>
        <v>5.9940000000000002E-3</v>
      </c>
      <c r="J1934" s="32">
        <f t="shared" si="485"/>
        <v>8.8911000000000004E-2</v>
      </c>
      <c r="K1934" s="33">
        <f t="shared" si="490"/>
        <v>1.333665E-2</v>
      </c>
      <c r="L1934" s="52"/>
      <c r="O1934" s="2">
        <f t="shared" si="491"/>
        <v>1.6650000000000002E-2</v>
      </c>
      <c r="P1934" s="2">
        <f t="shared" si="492"/>
        <v>11.988000000000001</v>
      </c>
      <c r="Q1934" s="7">
        <f t="shared" si="493"/>
        <v>54.29347826086957</v>
      </c>
      <c r="R1934" s="2">
        <v>1.2</v>
      </c>
      <c r="S1934" s="2">
        <f t="shared" si="486"/>
        <v>4.45</v>
      </c>
      <c r="T1934" s="2"/>
      <c r="U1934" s="2"/>
      <c r="Y1934" s="8">
        <f t="shared" si="484"/>
        <v>1.9328478260869566</v>
      </c>
    </row>
    <row r="1935" spans="1:25" x14ac:dyDescent="0.25">
      <c r="A1935" s="34">
        <f t="shared" si="489"/>
        <v>1923</v>
      </c>
      <c r="B1935" s="34"/>
      <c r="C1935" s="42" t="s">
        <v>492</v>
      </c>
      <c r="D1935" s="43">
        <v>3</v>
      </c>
      <c r="E1935" s="43"/>
      <c r="F1935" s="36">
        <v>0.17368900000000001</v>
      </c>
      <c r="G1935" s="36">
        <f t="shared" si="487"/>
        <v>3.4216733000000006E-2</v>
      </c>
      <c r="H1935" s="36">
        <v>4.4040000000000003E-2</v>
      </c>
      <c r="I1935" s="36">
        <f t="shared" si="488"/>
        <v>6.6059999999999999E-3</v>
      </c>
      <c r="J1935" s="32">
        <f t="shared" si="485"/>
        <v>9.7989000000000007E-2</v>
      </c>
      <c r="K1935" s="33">
        <f t="shared" si="490"/>
        <v>1.4698350000000001E-2</v>
      </c>
      <c r="L1935" s="52"/>
      <c r="O1935" s="2">
        <f t="shared" si="491"/>
        <v>1.8350000000000002E-2</v>
      </c>
      <c r="P1935" s="2">
        <f t="shared" si="492"/>
        <v>13.212</v>
      </c>
      <c r="Q1935" s="7">
        <f t="shared" si="493"/>
        <v>59.836956521739133</v>
      </c>
      <c r="R1935" s="2">
        <v>1.2</v>
      </c>
      <c r="S1935" s="2">
        <f t="shared" si="486"/>
        <v>4.45</v>
      </c>
      <c r="T1935" s="2"/>
      <c r="U1935" s="2"/>
      <c r="Y1935" s="8">
        <f t="shared" si="484"/>
        <v>2.1301956521739132</v>
      </c>
    </row>
    <row r="1936" spans="1:25" x14ac:dyDescent="0.25">
      <c r="A1936" s="34">
        <f t="shared" si="489"/>
        <v>1924</v>
      </c>
      <c r="B1936" s="34"/>
      <c r="C1936" s="42" t="s">
        <v>492</v>
      </c>
      <c r="D1936" s="43">
        <v>11</v>
      </c>
      <c r="E1936" s="43"/>
      <c r="F1936" s="36">
        <v>0.28864299999999998</v>
      </c>
      <c r="G1936" s="36">
        <f t="shared" si="487"/>
        <v>5.6862670999999997E-2</v>
      </c>
      <c r="H1936" s="36">
        <v>7.3539999999999994E-2</v>
      </c>
      <c r="I1936" s="36">
        <f t="shared" si="488"/>
        <v>1.1030999999999999E-2</v>
      </c>
      <c r="J1936" s="32">
        <f t="shared" si="485"/>
        <v>0.16362649999999998</v>
      </c>
      <c r="K1936" s="33">
        <f t="shared" si="490"/>
        <v>2.4543974999999996E-2</v>
      </c>
      <c r="L1936" s="52"/>
      <c r="O1936" s="2">
        <f t="shared" si="491"/>
        <v>3.0641666666666664E-2</v>
      </c>
      <c r="P1936" s="2">
        <f t="shared" si="492"/>
        <v>22.061999999999998</v>
      </c>
      <c r="Q1936" s="7">
        <f t="shared" si="493"/>
        <v>99.918478260869563</v>
      </c>
      <c r="R1936" s="2">
        <v>1.2</v>
      </c>
      <c r="S1936" s="2">
        <f t="shared" si="486"/>
        <v>4.45</v>
      </c>
      <c r="T1936" s="2"/>
      <c r="U1936" s="2"/>
      <c r="Y1936" s="8">
        <f t="shared" si="484"/>
        <v>3.5570978260869563</v>
      </c>
    </row>
    <row r="1937" spans="1:25" x14ac:dyDescent="0.25">
      <c r="A1937" s="34">
        <f t="shared" si="489"/>
        <v>1925</v>
      </c>
      <c r="B1937" s="34"/>
      <c r="C1937" s="42" t="s">
        <v>492</v>
      </c>
      <c r="D1937" s="43">
        <v>29</v>
      </c>
      <c r="E1937" s="43"/>
      <c r="F1937" s="36">
        <v>0.13514300000000001</v>
      </c>
      <c r="G1937" s="36">
        <f t="shared" si="487"/>
        <v>2.6623171000000004E-2</v>
      </c>
      <c r="H1937" s="36">
        <v>2.6495999999999999E-2</v>
      </c>
      <c r="I1937" s="36">
        <f t="shared" si="488"/>
        <v>3.9743999999999995E-3</v>
      </c>
      <c r="J1937" s="32">
        <f t="shared" si="485"/>
        <v>5.8953600000000002E-2</v>
      </c>
      <c r="K1937" s="33">
        <f t="shared" si="490"/>
        <v>8.8430399999999999E-3</v>
      </c>
      <c r="L1937" s="52"/>
      <c r="O1937" s="2">
        <f t="shared" si="491"/>
        <v>1.1039999999999999E-2</v>
      </c>
      <c r="P1937" s="2">
        <f t="shared" si="492"/>
        <v>7.9487999999999994</v>
      </c>
      <c r="Q1937" s="7">
        <f t="shared" si="493"/>
        <v>36</v>
      </c>
      <c r="R1937" s="2">
        <v>1.2</v>
      </c>
      <c r="S1937" s="2">
        <f t="shared" si="486"/>
        <v>4.45</v>
      </c>
      <c r="T1937" s="2"/>
      <c r="U1937" s="2"/>
      <c r="Y1937" s="8">
        <f t="shared" si="484"/>
        <v>1.2816000000000001</v>
      </c>
    </row>
    <row r="1938" spans="1:25" x14ac:dyDescent="0.25">
      <c r="A1938" s="34">
        <f t="shared" si="489"/>
        <v>1926</v>
      </c>
      <c r="B1938" s="34"/>
      <c r="C1938" s="42" t="s">
        <v>492</v>
      </c>
      <c r="D1938" s="43">
        <v>57</v>
      </c>
      <c r="E1938" s="43"/>
      <c r="F1938" s="36">
        <v>0.21751599999999999</v>
      </c>
      <c r="G1938" s="36">
        <f t="shared" si="487"/>
        <v>4.2850651999999996E-2</v>
      </c>
      <c r="H1938" s="36">
        <v>5.1499999999999997E-2</v>
      </c>
      <c r="I1938" s="36">
        <f t="shared" si="488"/>
        <v>7.7249999999999992E-3</v>
      </c>
      <c r="J1938" s="32">
        <f t="shared" si="485"/>
        <v>0.11458749999999999</v>
      </c>
      <c r="K1938" s="33">
        <f t="shared" si="490"/>
        <v>1.7188124999999999E-2</v>
      </c>
      <c r="L1938" s="52"/>
      <c r="O1938" s="2">
        <f t="shared" si="491"/>
        <v>2.1458333333333333E-2</v>
      </c>
      <c r="P1938" s="2">
        <f t="shared" si="492"/>
        <v>15.450000000000001</v>
      </c>
      <c r="Q1938" s="7">
        <f t="shared" si="493"/>
        <v>69.97282608695653</v>
      </c>
      <c r="R1938" s="2">
        <v>1.2</v>
      </c>
      <c r="S1938" s="2">
        <f t="shared" si="486"/>
        <v>4.45</v>
      </c>
      <c r="T1938" s="2"/>
      <c r="U1938" s="2"/>
      <c r="Y1938" s="8">
        <f t="shared" si="484"/>
        <v>2.4910326086956522</v>
      </c>
    </row>
    <row r="1939" spans="1:25" x14ac:dyDescent="0.25">
      <c r="A1939" s="34">
        <f t="shared" si="489"/>
        <v>1927</v>
      </c>
      <c r="B1939" s="34"/>
      <c r="C1939" s="42" t="s">
        <v>399</v>
      </c>
      <c r="D1939" s="43">
        <v>42</v>
      </c>
      <c r="E1939" s="43"/>
      <c r="F1939" s="36">
        <v>6.1518999999999997E-2</v>
      </c>
      <c r="G1939" s="36">
        <f t="shared" si="487"/>
        <v>1.2119243E-2</v>
      </c>
      <c r="H1939" s="36">
        <v>1.7670000000000002E-2</v>
      </c>
      <c r="I1939" s="36">
        <f t="shared" si="488"/>
        <v>2.6505000000000001E-3</v>
      </c>
      <c r="J1939" s="32">
        <f t="shared" si="485"/>
        <v>3.9315750000000003E-2</v>
      </c>
      <c r="K1939" s="33">
        <f t="shared" si="490"/>
        <v>5.8973625000000003E-3</v>
      </c>
      <c r="L1939" s="52"/>
      <c r="O1939" s="2">
        <f t="shared" si="491"/>
        <v>7.362500000000001E-3</v>
      </c>
      <c r="P1939" s="2">
        <f t="shared" si="492"/>
        <v>5.301000000000001</v>
      </c>
      <c r="Q1939" s="7">
        <f t="shared" si="493"/>
        <v>24.00815217391305</v>
      </c>
      <c r="R1939" s="2">
        <v>1.2</v>
      </c>
      <c r="S1939" s="2">
        <f t="shared" si="486"/>
        <v>4.45</v>
      </c>
      <c r="T1939" s="2"/>
      <c r="U1939" s="2"/>
      <c r="Y1939" s="8">
        <f t="shared" si="484"/>
        <v>0.85469021739130446</v>
      </c>
    </row>
    <row r="1940" spans="1:25" x14ac:dyDescent="0.25">
      <c r="A1940" s="34">
        <f t="shared" si="489"/>
        <v>1928</v>
      </c>
      <c r="B1940" s="34"/>
      <c r="C1940" s="57" t="s">
        <v>438</v>
      </c>
      <c r="D1940" s="43">
        <v>6</v>
      </c>
      <c r="E1940" s="43">
        <v>1</v>
      </c>
      <c r="F1940" s="36">
        <v>7.6555999999999999E-2</v>
      </c>
      <c r="G1940" s="36">
        <f t="shared" si="487"/>
        <v>1.5081532E-2</v>
      </c>
      <c r="H1940" s="36">
        <v>3.2911000000000003E-2</v>
      </c>
      <c r="I1940" s="36">
        <f t="shared" si="488"/>
        <v>4.9366499999999999E-3</v>
      </c>
      <c r="J1940" s="32">
        <f t="shared" si="485"/>
        <v>7.3226975000000014E-2</v>
      </c>
      <c r="K1940" s="33">
        <f t="shared" si="490"/>
        <v>1.0984046250000002E-2</v>
      </c>
      <c r="L1940" s="52"/>
      <c r="O1940" s="2">
        <f t="shared" si="491"/>
        <v>1.3712916666666668E-2</v>
      </c>
      <c r="P1940" s="2">
        <f t="shared" si="492"/>
        <v>9.8733000000000004</v>
      </c>
      <c r="Q1940" s="7">
        <f t="shared" si="493"/>
        <v>44.716032608695656</v>
      </c>
      <c r="R1940" s="2">
        <v>1.2</v>
      </c>
      <c r="S1940" s="2">
        <f t="shared" si="486"/>
        <v>4.45</v>
      </c>
      <c r="T1940" s="2"/>
      <c r="U1940" s="2"/>
      <c r="Y1940" s="8">
        <f t="shared" si="484"/>
        <v>1.5918907608695656</v>
      </c>
    </row>
    <row r="1941" spans="1:25" x14ac:dyDescent="0.25">
      <c r="A1941" s="34">
        <f t="shared" si="489"/>
        <v>1929</v>
      </c>
      <c r="B1941" s="34"/>
      <c r="C1941" s="57" t="s">
        <v>438</v>
      </c>
      <c r="D1941" s="34">
        <v>6</v>
      </c>
      <c r="E1941" s="34">
        <v>2</v>
      </c>
      <c r="F1941" s="36">
        <v>7.6555999999999999E-2</v>
      </c>
      <c r="G1941" s="36">
        <f t="shared" si="487"/>
        <v>1.5081532E-2</v>
      </c>
      <c r="H1941" s="36">
        <v>3.2911000000000003E-2</v>
      </c>
      <c r="I1941" s="36">
        <f t="shared" si="488"/>
        <v>4.9366499999999999E-3</v>
      </c>
      <c r="J1941" s="32">
        <f t="shared" si="485"/>
        <v>7.3226975000000014E-2</v>
      </c>
      <c r="K1941" s="33">
        <f t="shared" si="490"/>
        <v>1.0984046250000002E-2</v>
      </c>
      <c r="L1941" s="52"/>
      <c r="O1941" s="2">
        <f t="shared" si="491"/>
        <v>1.3712916666666668E-2</v>
      </c>
      <c r="P1941" s="2">
        <f t="shared" si="492"/>
        <v>9.8733000000000004</v>
      </c>
      <c r="Q1941" s="7">
        <f t="shared" si="493"/>
        <v>44.716032608695656</v>
      </c>
      <c r="R1941" s="2">
        <v>1.2</v>
      </c>
      <c r="S1941" s="2">
        <f t="shared" si="486"/>
        <v>4.45</v>
      </c>
      <c r="T1941" s="2"/>
      <c r="U1941" s="2"/>
      <c r="Y1941" s="8">
        <f t="shared" si="484"/>
        <v>1.5918907608695656</v>
      </c>
    </row>
    <row r="1942" spans="1:25" x14ac:dyDescent="0.25">
      <c r="A1942" s="34">
        <f t="shared" si="489"/>
        <v>1930</v>
      </c>
      <c r="B1942" s="34"/>
      <c r="C1942" s="57" t="s">
        <v>438</v>
      </c>
      <c r="D1942" s="43" t="s">
        <v>493</v>
      </c>
      <c r="E1942" s="43"/>
      <c r="F1942" s="36">
        <v>0.13896900000000001</v>
      </c>
      <c r="G1942" s="36">
        <f t="shared" si="487"/>
        <v>2.7376893000000003E-2</v>
      </c>
      <c r="H1942" s="36">
        <v>2.664E-2</v>
      </c>
      <c r="I1942" s="36">
        <f t="shared" si="488"/>
        <v>3.9959999999999996E-3</v>
      </c>
      <c r="J1942" s="32">
        <f t="shared" si="485"/>
        <v>5.9274E-2</v>
      </c>
      <c r="K1942" s="33">
        <f t="shared" si="490"/>
        <v>8.891099999999999E-3</v>
      </c>
      <c r="L1942" s="52"/>
      <c r="O1942" s="2">
        <f t="shared" si="491"/>
        <v>1.11E-2</v>
      </c>
      <c r="P1942" s="2">
        <f t="shared" si="492"/>
        <v>7.9920000000000009</v>
      </c>
      <c r="Q1942" s="7">
        <f t="shared" si="493"/>
        <v>36.195652173913047</v>
      </c>
      <c r="R1942" s="2">
        <v>1.2</v>
      </c>
      <c r="S1942" s="2">
        <f t="shared" si="486"/>
        <v>4.45</v>
      </c>
      <c r="T1942" s="2"/>
      <c r="U1942" s="2"/>
      <c r="Y1942" s="8">
        <f t="shared" si="484"/>
        <v>1.2885652173913045</v>
      </c>
    </row>
    <row r="1943" spans="1:25" x14ac:dyDescent="0.25">
      <c r="A1943" s="34">
        <f t="shared" si="489"/>
        <v>1931</v>
      </c>
      <c r="B1943" s="34"/>
      <c r="C1943" s="57" t="s">
        <v>494</v>
      </c>
      <c r="D1943" s="43" t="s">
        <v>495</v>
      </c>
      <c r="E1943" s="43"/>
      <c r="F1943" s="36">
        <v>0.14169499999999999</v>
      </c>
      <c r="G1943" s="36">
        <f t="shared" si="487"/>
        <v>2.7913914999999997E-2</v>
      </c>
      <c r="H1943" s="36">
        <v>1.9296000000000001E-2</v>
      </c>
      <c r="I1943" s="36">
        <f t="shared" si="488"/>
        <v>2.8944000000000001E-3</v>
      </c>
      <c r="J1943" s="32">
        <f t="shared" si="485"/>
        <v>4.2933600000000002E-2</v>
      </c>
      <c r="K1943" s="33">
        <f t="shared" si="490"/>
        <v>6.4400400000000002E-3</v>
      </c>
      <c r="L1943" s="52"/>
      <c r="O1943" s="2">
        <f t="shared" si="491"/>
        <v>8.0400000000000003E-3</v>
      </c>
      <c r="P1943" s="2">
        <f t="shared" si="492"/>
        <v>5.7888000000000002</v>
      </c>
      <c r="Q1943" s="7">
        <f t="shared" si="493"/>
        <v>26.217391304347828</v>
      </c>
      <c r="R1943" s="2">
        <v>1.2</v>
      </c>
      <c r="S1943" s="2">
        <f t="shared" si="486"/>
        <v>4.45</v>
      </c>
      <c r="T1943" s="2"/>
      <c r="U1943" s="2"/>
      <c r="Y1943" s="8">
        <f t="shared" si="484"/>
        <v>0.93333913043478267</v>
      </c>
    </row>
    <row r="1944" spans="1:25" x14ac:dyDescent="0.25">
      <c r="A1944" s="34">
        <f t="shared" si="489"/>
        <v>1932</v>
      </c>
      <c r="B1944" s="34"/>
      <c r="C1944" s="57" t="s">
        <v>494</v>
      </c>
      <c r="D1944" s="43">
        <v>87</v>
      </c>
      <c r="E1944" s="43"/>
      <c r="F1944" s="36">
        <v>0.19922300000000001</v>
      </c>
      <c r="G1944" s="36">
        <f t="shared" si="487"/>
        <v>3.9246931000000006E-2</v>
      </c>
      <c r="H1944" s="36">
        <v>4.2770000000000002E-2</v>
      </c>
      <c r="I1944" s="36">
        <f t="shared" si="488"/>
        <v>6.4155000000000002E-3</v>
      </c>
      <c r="J1944" s="32">
        <f t="shared" si="485"/>
        <v>9.5163250000000005E-2</v>
      </c>
      <c r="K1944" s="33">
        <f t="shared" si="490"/>
        <v>1.42744875E-2</v>
      </c>
      <c r="L1944" s="52"/>
      <c r="O1944" s="2">
        <f t="shared" si="491"/>
        <v>1.7820833333333334E-2</v>
      </c>
      <c r="P1944" s="2">
        <f t="shared" si="492"/>
        <v>12.831000000000001</v>
      </c>
      <c r="Q1944" s="7">
        <f t="shared" si="493"/>
        <v>58.111413043478265</v>
      </c>
      <c r="R1944" s="2">
        <v>1.2</v>
      </c>
      <c r="S1944" s="2">
        <f t="shared" si="486"/>
        <v>4.45</v>
      </c>
      <c r="T1944" s="2"/>
      <c r="U1944" s="2"/>
      <c r="Y1944" s="8">
        <f t="shared" si="484"/>
        <v>2.0687663043478262</v>
      </c>
    </row>
    <row r="1945" spans="1:25" x14ac:dyDescent="0.25">
      <c r="A1945" s="34">
        <f t="shared" si="489"/>
        <v>1933</v>
      </c>
      <c r="B1945" s="34"/>
      <c r="C1945" s="57" t="s">
        <v>494</v>
      </c>
      <c r="D1945" s="43" t="s">
        <v>496</v>
      </c>
      <c r="E1945" s="43"/>
      <c r="F1945" s="36">
        <v>0.371867</v>
      </c>
      <c r="G1945" s="36">
        <f t="shared" si="487"/>
        <v>7.3257798999999998E-2</v>
      </c>
      <c r="H1945" s="36">
        <v>6.7713999999999996E-2</v>
      </c>
      <c r="I1945" s="36">
        <f t="shared" si="488"/>
        <v>1.0157099999999999E-2</v>
      </c>
      <c r="J1945" s="32">
        <f t="shared" si="485"/>
        <v>0.15066365000000001</v>
      </c>
      <c r="K1945" s="33">
        <f t="shared" si="490"/>
        <v>2.2599547500000001E-2</v>
      </c>
      <c r="L1945" s="52"/>
      <c r="O1945" s="2">
        <f t="shared" si="491"/>
        <v>2.8214166666666665E-2</v>
      </c>
      <c r="P1945" s="2">
        <f t="shared" si="492"/>
        <v>20.3142</v>
      </c>
      <c r="Q1945" s="7">
        <f t="shared" si="493"/>
        <v>92.002717391304344</v>
      </c>
      <c r="R1945" s="2">
        <v>1.2</v>
      </c>
      <c r="S1945" s="2">
        <f t="shared" si="486"/>
        <v>4.45</v>
      </c>
      <c r="T1945" s="2"/>
      <c r="U1945" s="2"/>
      <c r="Y1945" s="8">
        <f t="shared" si="484"/>
        <v>3.2752967391304346</v>
      </c>
    </row>
    <row r="1946" spans="1:25" x14ac:dyDescent="0.25">
      <c r="A1946" s="34">
        <f t="shared" si="489"/>
        <v>1934</v>
      </c>
      <c r="B1946" s="34"/>
      <c r="C1946" s="57" t="s">
        <v>494</v>
      </c>
      <c r="D1946" s="43" t="s">
        <v>497</v>
      </c>
      <c r="E1946" s="43"/>
      <c r="F1946" s="36">
        <v>0.12098299999999999</v>
      </c>
      <c r="G1946" s="36">
        <f t="shared" si="487"/>
        <v>2.3833651000000001E-2</v>
      </c>
      <c r="H1946" s="36">
        <v>1.0303E-2</v>
      </c>
      <c r="I1946" s="36">
        <f t="shared" si="488"/>
        <v>1.5454499999999999E-3</v>
      </c>
      <c r="J1946" s="32">
        <f t="shared" si="485"/>
        <v>2.2924175000000005E-2</v>
      </c>
      <c r="K1946" s="33">
        <f t="shared" si="490"/>
        <v>3.4386262500000005E-3</v>
      </c>
      <c r="L1946" s="52"/>
      <c r="O1946" s="2">
        <f t="shared" si="491"/>
        <v>4.2929166666666671E-3</v>
      </c>
      <c r="P1946" s="2">
        <f t="shared" si="492"/>
        <v>3.0909000000000004</v>
      </c>
      <c r="Q1946" s="7">
        <f t="shared" si="493"/>
        <v>13.998641304347828</v>
      </c>
      <c r="R1946" s="2">
        <v>1.2</v>
      </c>
      <c r="S1946" s="2">
        <f t="shared" si="486"/>
        <v>4.45</v>
      </c>
      <c r="T1946" s="2"/>
      <c r="U1946" s="2"/>
      <c r="Y1946" s="8">
        <f t="shared" si="484"/>
        <v>0.4983516304347827</v>
      </c>
    </row>
    <row r="1947" spans="1:25" x14ac:dyDescent="0.25">
      <c r="A1947" s="34">
        <f t="shared" si="489"/>
        <v>1935</v>
      </c>
      <c r="B1947" s="34"/>
      <c r="C1947" s="57" t="s">
        <v>494</v>
      </c>
      <c r="D1947" s="43">
        <v>106</v>
      </c>
      <c r="E1947" s="43"/>
      <c r="F1947" s="36">
        <v>0.16456899999999999</v>
      </c>
      <c r="G1947" s="36">
        <f t="shared" si="487"/>
        <v>3.2420092999999997E-2</v>
      </c>
      <c r="H1947" s="36">
        <v>2.1989999999999999E-2</v>
      </c>
      <c r="I1947" s="36">
        <f t="shared" si="488"/>
        <v>3.2984999999999998E-3</v>
      </c>
      <c r="J1947" s="32">
        <f t="shared" si="485"/>
        <v>4.8927749999999999E-2</v>
      </c>
      <c r="K1947" s="33">
        <f t="shared" si="490"/>
        <v>7.3391624999999995E-3</v>
      </c>
      <c r="L1947" s="52"/>
      <c r="O1947" s="2">
        <f t="shared" si="491"/>
        <v>9.1625000000000005E-3</v>
      </c>
      <c r="P1947" s="2">
        <f t="shared" si="492"/>
        <v>6.5970000000000004</v>
      </c>
      <c r="Q1947" s="7">
        <f t="shared" si="493"/>
        <v>29.877717391304351</v>
      </c>
      <c r="R1947" s="2">
        <v>1.2</v>
      </c>
      <c r="S1947" s="2">
        <f t="shared" si="486"/>
        <v>4.45</v>
      </c>
      <c r="T1947" s="2"/>
      <c r="U1947" s="2"/>
      <c r="Y1947" s="8">
        <f t="shared" si="484"/>
        <v>1.0636467391304347</v>
      </c>
    </row>
    <row r="1948" spans="1:25" ht="30" x14ac:dyDescent="0.25">
      <c r="A1948" s="34">
        <f t="shared" si="489"/>
        <v>1936</v>
      </c>
      <c r="B1948" s="34"/>
      <c r="C1948" s="57" t="s">
        <v>494</v>
      </c>
      <c r="D1948" s="57" t="s">
        <v>498</v>
      </c>
      <c r="E1948" s="43"/>
      <c r="F1948" s="36">
        <v>0.33600000000000002</v>
      </c>
      <c r="G1948" s="36">
        <f t="shared" si="487"/>
        <v>6.6192000000000001E-2</v>
      </c>
      <c r="H1948" s="36">
        <v>1.9980000000000001E-2</v>
      </c>
      <c r="I1948" s="36">
        <f t="shared" si="488"/>
        <v>2.9970000000000001E-3</v>
      </c>
      <c r="J1948" s="32">
        <f t="shared" si="485"/>
        <v>4.4455500000000002E-2</v>
      </c>
      <c r="K1948" s="33">
        <f t="shared" si="490"/>
        <v>6.6683250000000001E-3</v>
      </c>
      <c r="L1948" s="52"/>
      <c r="O1948" s="2">
        <f t="shared" si="491"/>
        <v>8.3250000000000008E-3</v>
      </c>
      <c r="P1948" s="2">
        <f t="shared" si="492"/>
        <v>5.9940000000000007</v>
      </c>
      <c r="Q1948" s="7">
        <f t="shared" si="493"/>
        <v>27.146739130434785</v>
      </c>
      <c r="R1948" s="2">
        <v>1.2</v>
      </c>
      <c r="S1948" s="2">
        <f t="shared" si="486"/>
        <v>4.45</v>
      </c>
      <c r="T1948" s="2"/>
      <c r="U1948" s="2"/>
      <c r="Y1948" s="8">
        <f t="shared" si="484"/>
        <v>0.9664239130434783</v>
      </c>
    </row>
    <row r="1949" spans="1:25" ht="45" x14ac:dyDescent="0.25">
      <c r="A1949" s="34">
        <f t="shared" si="489"/>
        <v>1937</v>
      </c>
      <c r="B1949" s="34"/>
      <c r="C1949" s="57" t="s">
        <v>494</v>
      </c>
      <c r="D1949" s="57" t="s">
        <v>499</v>
      </c>
      <c r="E1949" s="43"/>
      <c r="F1949" s="36">
        <v>0.2586</v>
      </c>
      <c r="G1949" s="36">
        <f t="shared" si="487"/>
        <v>5.0944200000000002E-2</v>
      </c>
      <c r="H1949" s="36">
        <v>1.6279999999999999E-2</v>
      </c>
      <c r="I1949" s="36">
        <f t="shared" si="488"/>
        <v>2.4419999999999997E-3</v>
      </c>
      <c r="J1949" s="32">
        <f t="shared" si="485"/>
        <v>3.6222999999999998E-2</v>
      </c>
      <c r="K1949" s="33">
        <f t="shared" si="490"/>
        <v>5.4334499999999994E-3</v>
      </c>
      <c r="L1949" s="52"/>
      <c r="O1949" s="2">
        <f t="shared" si="491"/>
        <v>6.7833333333333331E-3</v>
      </c>
      <c r="P1949" s="2">
        <f t="shared" si="492"/>
        <v>4.8840000000000003</v>
      </c>
      <c r="Q1949" s="7">
        <f t="shared" si="493"/>
        <v>22.119565217391305</v>
      </c>
      <c r="R1949" s="2">
        <v>1.2</v>
      </c>
      <c r="S1949" s="2">
        <f t="shared" si="486"/>
        <v>4.45</v>
      </c>
      <c r="T1949" s="2"/>
      <c r="U1949" s="2"/>
      <c r="Y1949" s="8">
        <f t="shared" si="484"/>
        <v>0.78745652173913039</v>
      </c>
    </row>
    <row r="1950" spans="1:25" ht="30" x14ac:dyDescent="0.25">
      <c r="A1950" s="34">
        <f t="shared" si="489"/>
        <v>1938</v>
      </c>
      <c r="B1950" s="34"/>
      <c r="C1950" s="57" t="s">
        <v>494</v>
      </c>
      <c r="D1950" s="57" t="s">
        <v>500</v>
      </c>
      <c r="E1950" s="43"/>
      <c r="F1950" s="36">
        <v>0.17299999999999999</v>
      </c>
      <c r="G1950" s="36">
        <f t="shared" si="487"/>
        <v>3.4081E-2</v>
      </c>
      <c r="H1950" s="36">
        <v>2.5899999999999999E-2</v>
      </c>
      <c r="I1950" s="36">
        <f t="shared" si="488"/>
        <v>3.8849999999999996E-3</v>
      </c>
      <c r="J1950" s="32">
        <f t="shared" si="485"/>
        <v>5.7627499999999998E-2</v>
      </c>
      <c r="K1950" s="33">
        <f t="shared" si="490"/>
        <v>8.644124999999999E-3</v>
      </c>
      <c r="L1950" s="52"/>
      <c r="O1950" s="2">
        <f t="shared" si="491"/>
        <v>1.0791666666666666E-2</v>
      </c>
      <c r="P1950" s="2">
        <f t="shared" si="492"/>
        <v>7.7700000000000005</v>
      </c>
      <c r="Q1950" s="7">
        <f t="shared" si="493"/>
        <v>35.190217391304351</v>
      </c>
      <c r="R1950" s="2">
        <v>1.2</v>
      </c>
      <c r="S1950" s="2">
        <f t="shared" si="486"/>
        <v>4.45</v>
      </c>
      <c r="T1950" s="2"/>
      <c r="U1950" s="2"/>
      <c r="Y1950" s="8">
        <f t="shared" si="484"/>
        <v>1.2527717391304347</v>
      </c>
    </row>
    <row r="1951" spans="1:25" ht="30" x14ac:dyDescent="0.25">
      <c r="A1951" s="34">
        <f t="shared" si="489"/>
        <v>1939</v>
      </c>
      <c r="B1951" s="34"/>
      <c r="C1951" s="57" t="s">
        <v>494</v>
      </c>
      <c r="D1951" s="57" t="s">
        <v>501</v>
      </c>
      <c r="E1951" s="43"/>
      <c r="F1951" s="36">
        <v>0.1123</v>
      </c>
      <c r="G1951" s="36">
        <f t="shared" si="487"/>
        <v>2.21231E-2</v>
      </c>
      <c r="H1951" s="36">
        <v>1.554E-2</v>
      </c>
      <c r="I1951" s="36">
        <f t="shared" si="488"/>
        <v>2.3309999999999997E-3</v>
      </c>
      <c r="J1951" s="32">
        <f t="shared" si="485"/>
        <v>3.4576499999999996E-2</v>
      </c>
      <c r="K1951" s="33">
        <f t="shared" si="490"/>
        <v>5.1864749999999994E-3</v>
      </c>
      <c r="L1951" s="52"/>
      <c r="O1951" s="2">
        <f t="shared" si="491"/>
        <v>6.4749999999999999E-3</v>
      </c>
      <c r="P1951" s="2">
        <f t="shared" si="492"/>
        <v>4.661999999999999</v>
      </c>
      <c r="Q1951" s="7">
        <f t="shared" si="493"/>
        <v>21.114130434782606</v>
      </c>
      <c r="R1951" s="2">
        <v>1.2</v>
      </c>
      <c r="S1951" s="2">
        <f t="shared" si="486"/>
        <v>4.45</v>
      </c>
      <c r="T1951" s="2"/>
      <c r="U1951" s="2"/>
      <c r="Y1951" s="8">
        <f t="shared" si="484"/>
        <v>0.75166304347826074</v>
      </c>
    </row>
    <row r="1952" spans="1:25" x14ac:dyDescent="0.25">
      <c r="A1952" s="34">
        <f t="shared" si="489"/>
        <v>1940</v>
      </c>
      <c r="B1952" s="34"/>
      <c r="C1952" s="57" t="s">
        <v>494</v>
      </c>
      <c r="D1952" s="43">
        <v>140</v>
      </c>
      <c r="E1952" s="43"/>
      <c r="F1952" s="36">
        <v>0.24290800000000001</v>
      </c>
      <c r="G1952" s="36">
        <f t="shared" si="487"/>
        <v>4.7852876000000003E-2</v>
      </c>
      <c r="H1952" s="36">
        <v>7.5660000000000005E-2</v>
      </c>
      <c r="I1952" s="36">
        <f t="shared" si="488"/>
        <v>1.1349E-2</v>
      </c>
      <c r="J1952" s="32">
        <f t="shared" si="485"/>
        <v>0.16834350000000001</v>
      </c>
      <c r="K1952" s="33">
        <f t="shared" si="490"/>
        <v>2.5251525E-2</v>
      </c>
      <c r="L1952" s="52"/>
      <c r="O1952" s="2">
        <f t="shared" si="491"/>
        <v>3.1525000000000004E-2</v>
      </c>
      <c r="P1952" s="2">
        <f t="shared" si="492"/>
        <v>22.698000000000004</v>
      </c>
      <c r="Q1952" s="7">
        <f t="shared" si="493"/>
        <v>102.79891304347828</v>
      </c>
      <c r="R1952" s="2">
        <v>1.2</v>
      </c>
      <c r="S1952" s="2">
        <f t="shared" si="486"/>
        <v>4.45</v>
      </c>
      <c r="T1952" s="2"/>
      <c r="U1952" s="2"/>
      <c r="Y1952" s="8">
        <f t="shared" si="484"/>
        <v>3.6596413043478262</v>
      </c>
    </row>
    <row r="1953" spans="1:25" x14ac:dyDescent="0.25">
      <c r="A1953" s="34">
        <f t="shared" si="489"/>
        <v>1941</v>
      </c>
      <c r="B1953" s="34"/>
      <c r="C1953" s="57" t="s">
        <v>494</v>
      </c>
      <c r="D1953" s="43">
        <v>141</v>
      </c>
      <c r="E1953" s="43"/>
      <c r="F1953" s="36">
        <v>0.17799999999999999</v>
      </c>
      <c r="G1953" s="36">
        <f t="shared" si="487"/>
        <v>3.5066E-2</v>
      </c>
      <c r="H1953" s="36">
        <v>4.4999999999999998E-2</v>
      </c>
      <c r="I1953" s="36">
        <f t="shared" si="488"/>
        <v>6.7499999999999999E-3</v>
      </c>
      <c r="J1953" s="32">
        <f t="shared" si="485"/>
        <v>0.10012500000000001</v>
      </c>
      <c r="K1953" s="33">
        <f t="shared" si="490"/>
        <v>1.5018750000000001E-2</v>
      </c>
      <c r="L1953" s="52"/>
      <c r="O1953" s="2">
        <f t="shared" si="491"/>
        <v>1.8749999999999999E-2</v>
      </c>
      <c r="P1953" s="2">
        <f t="shared" si="492"/>
        <v>13.499999999999998</v>
      </c>
      <c r="Q1953" s="7">
        <f t="shared" si="493"/>
        <v>61.141304347826079</v>
      </c>
      <c r="R1953" s="2">
        <v>1.2</v>
      </c>
      <c r="S1953" s="2">
        <f t="shared" si="486"/>
        <v>4.45</v>
      </c>
      <c r="T1953" s="2"/>
      <c r="U1953" s="2"/>
      <c r="Y1953" s="8">
        <f t="shared" si="484"/>
        <v>2.1766304347826089</v>
      </c>
    </row>
    <row r="1954" spans="1:25" x14ac:dyDescent="0.25">
      <c r="A1954" s="34">
        <f t="shared" si="489"/>
        <v>1942</v>
      </c>
      <c r="B1954" s="34"/>
      <c r="C1954" s="57" t="s">
        <v>494</v>
      </c>
      <c r="D1954" s="43">
        <v>144</v>
      </c>
      <c r="E1954" s="43"/>
      <c r="F1954" s="36">
        <v>2.7807999999999999E-2</v>
      </c>
      <c r="G1954" s="36">
        <f t="shared" si="487"/>
        <v>5.4781760000000004E-3</v>
      </c>
      <c r="H1954" s="36">
        <v>1.5487000000000001E-2</v>
      </c>
      <c r="I1954" s="36">
        <f t="shared" si="488"/>
        <v>2.3230500000000001E-3</v>
      </c>
      <c r="J1954" s="32">
        <f t="shared" si="485"/>
        <v>3.4458575000000005E-2</v>
      </c>
      <c r="K1954" s="33">
        <f t="shared" si="490"/>
        <v>5.1687862500000006E-3</v>
      </c>
      <c r="L1954" s="52"/>
      <c r="O1954" s="2">
        <f t="shared" si="491"/>
        <v>6.4529166666666676E-3</v>
      </c>
      <c r="P1954" s="2">
        <f t="shared" si="492"/>
        <v>4.6461000000000006</v>
      </c>
      <c r="Q1954" s="7">
        <f t="shared" si="493"/>
        <v>21.042119565217394</v>
      </c>
      <c r="R1954" s="2">
        <v>1.2</v>
      </c>
      <c r="S1954" s="2">
        <f t="shared" si="486"/>
        <v>4.45</v>
      </c>
      <c r="T1954" s="2"/>
      <c r="U1954" s="2"/>
      <c r="Y1954" s="8">
        <f t="shared" si="484"/>
        <v>0.74909945652173926</v>
      </c>
    </row>
    <row r="1955" spans="1:25" x14ac:dyDescent="0.25">
      <c r="A1955" s="34">
        <f t="shared" si="489"/>
        <v>1943</v>
      </c>
      <c r="B1955" s="34"/>
      <c r="C1955" s="57" t="s">
        <v>494</v>
      </c>
      <c r="D1955" s="43">
        <v>147</v>
      </c>
      <c r="E1955" s="43"/>
      <c r="F1955" s="36">
        <v>0.23512</v>
      </c>
      <c r="G1955" s="36">
        <f t="shared" si="487"/>
        <v>4.6318640000000001E-2</v>
      </c>
      <c r="H1955" s="36">
        <v>5.9200000000000003E-2</v>
      </c>
      <c r="I1955" s="36">
        <f t="shared" si="488"/>
        <v>8.8800000000000007E-3</v>
      </c>
      <c r="J1955" s="32">
        <f t="shared" si="485"/>
        <v>0.13172</v>
      </c>
      <c r="K1955" s="33">
        <f t="shared" si="490"/>
        <v>1.9758000000000001E-2</v>
      </c>
      <c r="L1955" s="52"/>
      <c r="O1955" s="2">
        <f t="shared" si="491"/>
        <v>2.466666666666667E-2</v>
      </c>
      <c r="P1955" s="2">
        <f t="shared" si="492"/>
        <v>17.760000000000002</v>
      </c>
      <c r="Q1955" s="7">
        <f t="shared" si="493"/>
        <v>80.434782608695656</v>
      </c>
      <c r="R1955" s="2">
        <v>1.2</v>
      </c>
      <c r="S1955" s="2">
        <f t="shared" si="486"/>
        <v>4.45</v>
      </c>
      <c r="T1955" s="2"/>
      <c r="U1955" s="2"/>
      <c r="Y1955" s="8">
        <f t="shared" si="484"/>
        <v>2.8634782608695653</v>
      </c>
    </row>
    <row r="1956" spans="1:25" x14ac:dyDescent="0.25">
      <c r="A1956" s="34">
        <f t="shared" si="489"/>
        <v>1944</v>
      </c>
      <c r="B1956" s="34" t="e">
        <f>#REF!+1</f>
        <v>#REF!</v>
      </c>
      <c r="C1956" s="57" t="s">
        <v>494</v>
      </c>
      <c r="D1956" s="43" t="s">
        <v>502</v>
      </c>
      <c r="E1956" s="43"/>
      <c r="F1956" s="36">
        <v>0.12724099999999999</v>
      </c>
      <c r="G1956" s="36">
        <f t="shared" si="487"/>
        <v>2.5066477E-2</v>
      </c>
      <c r="H1956" s="36">
        <v>3.8753000000000003E-2</v>
      </c>
      <c r="I1956" s="36">
        <f t="shared" si="488"/>
        <v>5.8129499999999999E-3</v>
      </c>
      <c r="J1956" s="32">
        <f t="shared" si="485"/>
        <v>8.6225425000000008E-2</v>
      </c>
      <c r="K1956" s="33">
        <f t="shared" si="490"/>
        <v>1.293381375E-2</v>
      </c>
      <c r="L1956" s="52"/>
      <c r="O1956" s="2">
        <f t="shared" si="491"/>
        <v>1.6147083333333336E-2</v>
      </c>
      <c r="P1956" s="2">
        <f t="shared" si="492"/>
        <v>11.625900000000001</v>
      </c>
      <c r="Q1956" s="7">
        <f t="shared" si="493"/>
        <v>52.653532608695663</v>
      </c>
      <c r="R1956" s="2">
        <v>1.2</v>
      </c>
      <c r="S1956" s="2">
        <f t="shared" si="486"/>
        <v>4.45</v>
      </c>
      <c r="T1956" s="2"/>
      <c r="U1956" s="2"/>
      <c r="Y1956" s="8">
        <f t="shared" si="484"/>
        <v>1.8744657608695654</v>
      </c>
    </row>
    <row r="1957" spans="1:25" x14ac:dyDescent="0.25">
      <c r="A1957" s="34">
        <f t="shared" si="489"/>
        <v>1945</v>
      </c>
      <c r="B1957" s="34" t="e">
        <f t="shared" si="489"/>
        <v>#REF!</v>
      </c>
      <c r="C1957" s="42" t="s">
        <v>503</v>
      </c>
      <c r="D1957" s="43">
        <v>100</v>
      </c>
      <c r="E1957" s="43"/>
      <c r="F1957" s="36">
        <v>0.42013499999999998</v>
      </c>
      <c r="G1957" s="36">
        <f t="shared" si="487"/>
        <v>8.2766594999999998E-2</v>
      </c>
      <c r="H1957" s="36">
        <v>0.14024</v>
      </c>
      <c r="I1957" s="36">
        <f t="shared" si="488"/>
        <v>2.1035999999999999E-2</v>
      </c>
      <c r="J1957" s="32">
        <f t="shared" si="485"/>
        <v>0.25944400000000001</v>
      </c>
      <c r="K1957" s="33">
        <f t="shared" si="490"/>
        <v>3.8916600000000003E-2</v>
      </c>
      <c r="L1957" s="52"/>
      <c r="O1957" s="2">
        <f t="shared" si="491"/>
        <v>5.8433333333333337E-2</v>
      </c>
      <c r="P1957" s="2">
        <f t="shared" si="492"/>
        <v>42.072000000000003</v>
      </c>
      <c r="Q1957" s="7">
        <f t="shared" si="493"/>
        <v>190.54347826086959</v>
      </c>
      <c r="R1957" s="2">
        <v>1.2</v>
      </c>
      <c r="S1957" s="2">
        <f t="shared" si="486"/>
        <v>3.7</v>
      </c>
      <c r="T1957" s="2"/>
      <c r="U1957" s="2"/>
      <c r="Y1957" s="8">
        <f t="shared" si="484"/>
        <v>5.6400869565217393</v>
      </c>
    </row>
    <row r="1958" spans="1:25" x14ac:dyDescent="0.25">
      <c r="A1958" s="34">
        <f t="shared" ref="A1958:B1973" si="494">A1957+1</f>
        <v>1946</v>
      </c>
      <c r="B1958" s="34" t="e">
        <f t="shared" si="494"/>
        <v>#REF!</v>
      </c>
      <c r="C1958" s="42" t="s">
        <v>503</v>
      </c>
      <c r="D1958" s="43">
        <v>124</v>
      </c>
      <c r="E1958" s="43"/>
      <c r="F1958" s="36">
        <v>0.199074</v>
      </c>
      <c r="G1958" s="36">
        <f t="shared" si="487"/>
        <v>3.9217578000000003E-2</v>
      </c>
      <c r="H1958" s="36">
        <v>3.9219999999999998E-2</v>
      </c>
      <c r="I1958" s="36">
        <f t="shared" si="488"/>
        <v>5.8829999999999993E-3</v>
      </c>
      <c r="J1958" s="32">
        <f t="shared" si="485"/>
        <v>8.7264499999999995E-2</v>
      </c>
      <c r="K1958" s="33">
        <f t="shared" si="490"/>
        <v>1.3089674999999999E-2</v>
      </c>
      <c r="L1958" s="52"/>
      <c r="O1958" s="2">
        <f t="shared" si="491"/>
        <v>1.6341666666666668E-2</v>
      </c>
      <c r="P1958" s="2">
        <f t="shared" si="492"/>
        <v>11.766</v>
      </c>
      <c r="Q1958" s="7">
        <f t="shared" si="493"/>
        <v>53.288043478260867</v>
      </c>
      <c r="R1958" s="2">
        <v>1.2</v>
      </c>
      <c r="S1958" s="2">
        <f t="shared" si="486"/>
        <v>4.45</v>
      </c>
      <c r="T1958" s="2"/>
      <c r="U1958" s="2"/>
      <c r="Y1958" s="8">
        <f t="shared" si="484"/>
        <v>1.8970543478260868</v>
      </c>
    </row>
    <row r="1959" spans="1:25" x14ac:dyDescent="0.25">
      <c r="A1959" s="34">
        <f t="shared" si="494"/>
        <v>1947</v>
      </c>
      <c r="B1959" s="34" t="e">
        <f t="shared" si="494"/>
        <v>#REF!</v>
      </c>
      <c r="C1959" s="42" t="s">
        <v>503</v>
      </c>
      <c r="D1959" s="43" t="s">
        <v>504</v>
      </c>
      <c r="E1959" s="43"/>
      <c r="F1959" s="36">
        <v>9.2327999999999993E-2</v>
      </c>
      <c r="G1959" s="36">
        <f t="shared" si="487"/>
        <v>1.8188616000000001E-2</v>
      </c>
      <c r="H1959" s="36">
        <v>2.0719999999999999E-2</v>
      </c>
      <c r="I1959" s="36">
        <f t="shared" si="488"/>
        <v>3.1079999999999997E-3</v>
      </c>
      <c r="J1959" s="32">
        <f t="shared" si="485"/>
        <v>4.6101999999999997E-2</v>
      </c>
      <c r="K1959" s="33">
        <f t="shared" si="490"/>
        <v>6.9152999999999992E-3</v>
      </c>
      <c r="L1959" s="52"/>
      <c r="O1959" s="2">
        <f t="shared" si="491"/>
        <v>8.6333333333333331E-3</v>
      </c>
      <c r="P1959" s="2">
        <f t="shared" si="492"/>
        <v>6.2160000000000002</v>
      </c>
      <c r="Q1959" s="7">
        <f t="shared" si="493"/>
        <v>28.15217391304348</v>
      </c>
      <c r="R1959" s="2">
        <v>1.2</v>
      </c>
      <c r="S1959" s="2">
        <f t="shared" si="486"/>
        <v>4.45</v>
      </c>
      <c r="T1959" s="2"/>
      <c r="U1959" s="2"/>
      <c r="Y1959" s="8">
        <f t="shared" si="484"/>
        <v>1.0022173913043477</v>
      </c>
    </row>
    <row r="1960" spans="1:25" x14ac:dyDescent="0.25">
      <c r="A1960" s="34">
        <f t="shared" si="494"/>
        <v>1948</v>
      </c>
      <c r="B1960" s="34" t="e">
        <f t="shared" si="494"/>
        <v>#REF!</v>
      </c>
      <c r="C1960" s="42" t="s">
        <v>503</v>
      </c>
      <c r="D1960" s="43">
        <v>13</v>
      </c>
      <c r="E1960" s="43"/>
      <c r="F1960" s="36">
        <v>0.27692600000000001</v>
      </c>
      <c r="G1960" s="36">
        <f t="shared" si="487"/>
        <v>5.4554422000000005E-2</v>
      </c>
      <c r="H1960" s="36">
        <v>3.4020000000000002E-2</v>
      </c>
      <c r="I1960" s="36">
        <f t="shared" si="488"/>
        <v>5.1029999999999999E-3</v>
      </c>
      <c r="J1960" s="32">
        <f t="shared" si="485"/>
        <v>7.5694500000000012E-2</v>
      </c>
      <c r="K1960" s="33">
        <f t="shared" si="490"/>
        <v>1.1354175000000001E-2</v>
      </c>
      <c r="L1960" s="52"/>
      <c r="O1960" s="2">
        <f t="shared" si="491"/>
        <v>1.4175000000000002E-2</v>
      </c>
      <c r="P1960" s="2">
        <f t="shared" si="492"/>
        <v>10.206000000000001</v>
      </c>
      <c r="Q1960" s="7">
        <f t="shared" si="493"/>
        <v>46.22282608695653</v>
      </c>
      <c r="R1960" s="2">
        <v>1.2</v>
      </c>
      <c r="S1960" s="2">
        <f t="shared" si="486"/>
        <v>4.45</v>
      </c>
      <c r="T1960" s="2"/>
      <c r="U1960" s="2"/>
      <c r="Y1960" s="8">
        <f t="shared" si="484"/>
        <v>1.6455326086956523</v>
      </c>
    </row>
    <row r="1961" spans="1:25" x14ac:dyDescent="0.25">
      <c r="A1961" s="34">
        <f t="shared" si="494"/>
        <v>1949</v>
      </c>
      <c r="B1961" s="34" t="e">
        <f t="shared" si="494"/>
        <v>#REF!</v>
      </c>
      <c r="C1961" s="42" t="s">
        <v>503</v>
      </c>
      <c r="D1961" s="43">
        <v>39</v>
      </c>
      <c r="E1961" s="43"/>
      <c r="F1961" s="36">
        <v>0.18637000000000001</v>
      </c>
      <c r="G1961" s="36">
        <f t="shared" si="487"/>
        <v>3.671489E-2</v>
      </c>
      <c r="H1961" s="36">
        <v>2.869E-2</v>
      </c>
      <c r="I1961" s="36">
        <f t="shared" si="488"/>
        <v>4.3035E-3</v>
      </c>
      <c r="J1961" s="32">
        <f t="shared" si="485"/>
        <v>6.3835249999999996E-2</v>
      </c>
      <c r="K1961" s="33">
        <f t="shared" si="490"/>
        <v>9.5752874999999998E-3</v>
      </c>
      <c r="L1961" s="52"/>
      <c r="O1961" s="2">
        <f t="shared" si="491"/>
        <v>1.1954166666666667E-2</v>
      </c>
      <c r="P1961" s="2">
        <f t="shared" si="492"/>
        <v>8.6069999999999993</v>
      </c>
      <c r="Q1961" s="7">
        <f t="shared" si="493"/>
        <v>38.980978260869563</v>
      </c>
      <c r="R1961" s="2">
        <v>1.2</v>
      </c>
      <c r="S1961" s="2">
        <f t="shared" si="486"/>
        <v>4.45</v>
      </c>
      <c r="T1961" s="2"/>
      <c r="U1961" s="2"/>
      <c r="Y1961" s="8">
        <f t="shared" si="484"/>
        <v>1.3877228260869565</v>
      </c>
    </row>
    <row r="1962" spans="1:25" x14ac:dyDescent="0.25">
      <c r="A1962" s="34">
        <f t="shared" si="494"/>
        <v>1950</v>
      </c>
      <c r="B1962" s="34" t="e">
        <f t="shared" si="494"/>
        <v>#REF!</v>
      </c>
      <c r="C1962" s="42" t="s">
        <v>503</v>
      </c>
      <c r="D1962" s="43" t="s">
        <v>505</v>
      </c>
      <c r="E1962" s="43"/>
      <c r="F1962" s="36">
        <v>0.131297</v>
      </c>
      <c r="G1962" s="36">
        <f t="shared" si="487"/>
        <v>2.5865509000000002E-2</v>
      </c>
      <c r="H1962" s="36">
        <v>5.7761E-2</v>
      </c>
      <c r="I1962" s="36">
        <f t="shared" si="488"/>
        <v>8.6641499999999989E-3</v>
      </c>
      <c r="J1962" s="32">
        <f t="shared" si="485"/>
        <v>0.12851822499999999</v>
      </c>
      <c r="K1962" s="33">
        <f t="shared" si="490"/>
        <v>1.9277733749999998E-2</v>
      </c>
      <c r="L1962" s="52"/>
      <c r="O1962" s="2">
        <f t="shared" si="491"/>
        <v>2.4067083333333333E-2</v>
      </c>
      <c r="P1962" s="2">
        <f t="shared" si="492"/>
        <v>17.328299999999999</v>
      </c>
      <c r="Q1962" s="7">
        <f t="shared" si="493"/>
        <v>78.479619565217391</v>
      </c>
      <c r="R1962" s="2">
        <v>1.2</v>
      </c>
      <c r="S1962" s="2">
        <f t="shared" si="486"/>
        <v>4.45</v>
      </c>
      <c r="T1962" s="2"/>
      <c r="U1962" s="2"/>
      <c r="Y1962" s="8">
        <f t="shared" ref="Y1962:Y2005" si="495">J1962/46*1000</f>
        <v>2.7938744565217388</v>
      </c>
    </row>
    <row r="1963" spans="1:25" x14ac:dyDescent="0.25">
      <c r="A1963" s="34">
        <f t="shared" si="494"/>
        <v>1951</v>
      </c>
      <c r="B1963" s="34"/>
      <c r="C1963" s="57" t="s">
        <v>444</v>
      </c>
      <c r="D1963" s="43" t="s">
        <v>506</v>
      </c>
      <c r="E1963" s="43"/>
      <c r="F1963" s="36">
        <v>0.21368899999999999</v>
      </c>
      <c r="G1963" s="36">
        <f t="shared" si="487"/>
        <v>4.2096732999999997E-2</v>
      </c>
      <c r="H1963" s="36">
        <v>7.5074000000000002E-2</v>
      </c>
      <c r="I1963" s="36">
        <f t="shared" si="488"/>
        <v>1.12611E-2</v>
      </c>
      <c r="J1963" s="32">
        <f t="shared" ref="J1963:J2000" si="496">O1963*R1963*S1963</f>
        <v>0.16703965000000001</v>
      </c>
      <c r="K1963" s="33">
        <f t="shared" si="490"/>
        <v>2.5055947500000002E-2</v>
      </c>
      <c r="L1963" s="52"/>
      <c r="O1963" s="2">
        <f t="shared" si="491"/>
        <v>3.1280833333333334E-2</v>
      </c>
      <c r="P1963" s="2">
        <f t="shared" si="492"/>
        <v>22.522199999999998</v>
      </c>
      <c r="Q1963" s="7">
        <f t="shared" si="493"/>
        <v>102.00271739130434</v>
      </c>
      <c r="R1963" s="2">
        <v>1.2</v>
      </c>
      <c r="S1963" s="2">
        <f t="shared" ref="S1963:S2004" si="497">IF(Q1963&lt;=$AE$6,$AF$6,IF(Q1963&lt;=$AE$7,$AF$7,IF(Q1963&lt;=$AE$8,$AF$8,IF(Q1963&lt;=$AE$9,$AF$9,IF(Q1963&lt;=$AE$10,$AF$10,0)))))</f>
        <v>4.45</v>
      </c>
      <c r="T1963" s="2"/>
      <c r="U1963" s="2"/>
      <c r="Y1963" s="8">
        <f t="shared" si="495"/>
        <v>3.6312967391304354</v>
      </c>
    </row>
    <row r="1964" spans="1:25" ht="30" x14ac:dyDescent="0.25">
      <c r="A1964" s="34">
        <f t="shared" si="494"/>
        <v>1952</v>
      </c>
      <c r="B1964" s="34"/>
      <c r="C1964" s="57" t="s">
        <v>444</v>
      </c>
      <c r="D1964" s="57" t="s">
        <v>507</v>
      </c>
      <c r="E1964" s="43"/>
      <c r="F1964" s="36">
        <v>0.15618099999999999</v>
      </c>
      <c r="G1964" s="36">
        <f t="shared" ref="G1964:G2000" si="498">F1964*0.197</f>
        <v>3.0767657E-2</v>
      </c>
      <c r="H1964" s="36">
        <v>3.5279999999999999E-2</v>
      </c>
      <c r="I1964" s="36">
        <f t="shared" ref="I1964:I2000" si="499">H1964*0.15</f>
        <v>5.2919999999999998E-3</v>
      </c>
      <c r="J1964" s="32">
        <f t="shared" si="496"/>
        <v>7.8497999999999998E-2</v>
      </c>
      <c r="K1964" s="33">
        <f t="shared" si="490"/>
        <v>1.1774699999999999E-2</v>
      </c>
      <c r="L1964" s="52"/>
      <c r="O1964" s="2">
        <f t="shared" si="491"/>
        <v>1.47E-2</v>
      </c>
      <c r="P1964" s="2">
        <f t="shared" si="492"/>
        <v>10.584</v>
      </c>
      <c r="Q1964" s="7">
        <f t="shared" si="493"/>
        <v>47.934782608695649</v>
      </c>
      <c r="R1964" s="2">
        <v>1.2</v>
      </c>
      <c r="S1964" s="2">
        <f t="shared" si="497"/>
        <v>4.45</v>
      </c>
      <c r="T1964" s="2"/>
      <c r="U1964" s="2"/>
      <c r="Y1964" s="8">
        <f t="shared" si="495"/>
        <v>1.706478260869565</v>
      </c>
    </row>
    <row r="1965" spans="1:25" ht="30" x14ac:dyDescent="0.25">
      <c r="A1965" s="34">
        <f t="shared" si="494"/>
        <v>1953</v>
      </c>
      <c r="B1965" s="34"/>
      <c r="C1965" s="57" t="s">
        <v>444</v>
      </c>
      <c r="D1965" s="57" t="s">
        <v>508</v>
      </c>
      <c r="E1965" s="43"/>
      <c r="F1965" s="36">
        <v>0.14460200000000001</v>
      </c>
      <c r="G1965" s="36">
        <f t="shared" si="498"/>
        <v>2.8486594000000004E-2</v>
      </c>
      <c r="H1965" s="36">
        <v>2.6579999999999999E-2</v>
      </c>
      <c r="I1965" s="36">
        <f t="shared" si="499"/>
        <v>3.9870000000000001E-3</v>
      </c>
      <c r="J1965" s="32">
        <f t="shared" si="496"/>
        <v>5.9140499999999999E-2</v>
      </c>
      <c r="K1965" s="33">
        <f t="shared" si="490"/>
        <v>8.8710749999999991E-3</v>
      </c>
      <c r="L1965" s="52"/>
      <c r="O1965" s="2">
        <f t="shared" si="491"/>
        <v>1.1075E-2</v>
      </c>
      <c r="P1965" s="2">
        <f t="shared" si="492"/>
        <v>7.9739999999999993</v>
      </c>
      <c r="Q1965" s="7">
        <f t="shared" si="493"/>
        <v>36.114130434782609</v>
      </c>
      <c r="R1965" s="2">
        <v>1.2</v>
      </c>
      <c r="S1965" s="2">
        <f t="shared" si="497"/>
        <v>4.45</v>
      </c>
      <c r="T1965" s="2"/>
      <c r="U1965" s="2"/>
      <c r="Y1965" s="8">
        <f t="shared" si="495"/>
        <v>1.2856630434782608</v>
      </c>
    </row>
    <row r="1966" spans="1:25" x14ac:dyDescent="0.25">
      <c r="A1966" s="34">
        <f t="shared" si="494"/>
        <v>1954</v>
      </c>
      <c r="B1966" s="34"/>
      <c r="C1966" s="57" t="s">
        <v>444</v>
      </c>
      <c r="D1966" s="43">
        <v>138</v>
      </c>
      <c r="E1966" s="43"/>
      <c r="F1966" s="36">
        <v>0.13636100000000001</v>
      </c>
      <c r="G1966" s="36">
        <f t="shared" si="498"/>
        <v>2.6863117000000002E-2</v>
      </c>
      <c r="H1966" s="36">
        <v>3.7499999999999999E-2</v>
      </c>
      <c r="I1966" s="36">
        <f t="shared" si="499"/>
        <v>5.6249999999999998E-3</v>
      </c>
      <c r="J1966" s="32">
        <f t="shared" si="496"/>
        <v>8.3437499999999998E-2</v>
      </c>
      <c r="K1966" s="33">
        <f t="shared" si="490"/>
        <v>1.2515624999999999E-2</v>
      </c>
      <c r="L1966" s="52"/>
      <c r="O1966" s="2">
        <f t="shared" si="491"/>
        <v>1.5625E-2</v>
      </c>
      <c r="P1966" s="2">
        <f t="shared" si="492"/>
        <v>11.25</v>
      </c>
      <c r="Q1966" s="7">
        <f t="shared" si="493"/>
        <v>50.951086956521742</v>
      </c>
      <c r="R1966" s="2">
        <v>1.2</v>
      </c>
      <c r="S1966" s="2">
        <f t="shared" si="497"/>
        <v>4.45</v>
      </c>
      <c r="T1966" s="2"/>
      <c r="U1966" s="2"/>
      <c r="Y1966" s="8">
        <f t="shared" si="495"/>
        <v>1.8138586956521738</v>
      </c>
    </row>
    <row r="1967" spans="1:25" x14ac:dyDescent="0.25">
      <c r="A1967" s="34">
        <f t="shared" si="494"/>
        <v>1955</v>
      </c>
      <c r="B1967" s="34"/>
      <c r="C1967" s="57" t="s">
        <v>444</v>
      </c>
      <c r="D1967" s="43">
        <v>165</v>
      </c>
      <c r="E1967" s="43"/>
      <c r="F1967" s="36">
        <v>0.122475</v>
      </c>
      <c r="G1967" s="36">
        <f t="shared" si="498"/>
        <v>2.4127575000000002E-2</v>
      </c>
      <c r="H1967" s="36">
        <v>1.0303E-2</v>
      </c>
      <c r="I1967" s="36">
        <f t="shared" si="499"/>
        <v>1.5454499999999999E-3</v>
      </c>
      <c r="J1967" s="32">
        <f t="shared" si="496"/>
        <v>2.2924175000000005E-2</v>
      </c>
      <c r="K1967" s="33">
        <f t="shared" si="490"/>
        <v>3.4386262500000005E-3</v>
      </c>
      <c r="L1967" s="52"/>
      <c r="O1967" s="2">
        <f t="shared" si="491"/>
        <v>4.2929166666666671E-3</v>
      </c>
      <c r="P1967" s="2">
        <f t="shared" si="492"/>
        <v>3.0909000000000004</v>
      </c>
      <c r="Q1967" s="7">
        <f t="shared" si="493"/>
        <v>13.998641304347828</v>
      </c>
      <c r="R1967" s="2">
        <v>1.2</v>
      </c>
      <c r="S1967" s="2">
        <f t="shared" si="497"/>
        <v>4.45</v>
      </c>
      <c r="T1967" s="2"/>
      <c r="U1967" s="2"/>
      <c r="Y1967" s="8">
        <f t="shared" si="495"/>
        <v>0.4983516304347827</v>
      </c>
    </row>
    <row r="1968" spans="1:25" x14ac:dyDescent="0.25">
      <c r="A1968" s="34">
        <f t="shared" si="494"/>
        <v>1956</v>
      </c>
      <c r="B1968" s="34"/>
      <c r="C1968" s="57" t="s">
        <v>444</v>
      </c>
      <c r="D1968" s="43" t="s">
        <v>509</v>
      </c>
      <c r="E1968" s="43"/>
      <c r="F1968" s="36">
        <v>9.4550999999999996E-2</v>
      </c>
      <c r="G1968" s="36">
        <f t="shared" si="498"/>
        <v>1.8626547E-2</v>
      </c>
      <c r="H1968" s="36">
        <v>3.2032999999999999E-2</v>
      </c>
      <c r="I1968" s="36">
        <f t="shared" si="499"/>
        <v>4.8049499999999997E-3</v>
      </c>
      <c r="J1968" s="32">
        <f t="shared" si="496"/>
        <v>7.1273425000000001E-2</v>
      </c>
      <c r="K1968" s="33">
        <f t="shared" si="490"/>
        <v>1.0691013750000001E-2</v>
      </c>
      <c r="L1968" s="52"/>
      <c r="O1968" s="2">
        <f t="shared" si="491"/>
        <v>1.3347083333333334E-2</v>
      </c>
      <c r="P1968" s="2">
        <f t="shared" si="492"/>
        <v>9.6098999999999997</v>
      </c>
      <c r="Q1968" s="7">
        <f t="shared" si="493"/>
        <v>43.523097826086953</v>
      </c>
      <c r="R1968" s="2">
        <v>1.2</v>
      </c>
      <c r="S1968" s="2">
        <f t="shared" si="497"/>
        <v>4.45</v>
      </c>
      <c r="T1968" s="2"/>
      <c r="U1968" s="2"/>
      <c r="Y1968" s="8">
        <f t="shared" si="495"/>
        <v>1.5494222826086956</v>
      </c>
    </row>
    <row r="1969" spans="1:25" x14ac:dyDescent="0.25">
      <c r="A1969" s="34">
        <f t="shared" si="494"/>
        <v>1957</v>
      </c>
      <c r="B1969" s="34"/>
      <c r="C1969" s="57" t="s">
        <v>444</v>
      </c>
      <c r="D1969" s="43" t="s">
        <v>510</v>
      </c>
      <c r="E1969" s="43"/>
      <c r="F1969" s="36">
        <v>0.24598999999999999</v>
      </c>
      <c r="G1969" s="36">
        <f t="shared" si="498"/>
        <v>4.8460030000000001E-2</v>
      </c>
      <c r="H1969" s="36">
        <v>5.5807000000000002E-2</v>
      </c>
      <c r="I1969" s="36">
        <f t="shared" si="499"/>
        <v>8.3710499999999997E-3</v>
      </c>
      <c r="J1969" s="32">
        <f t="shared" si="496"/>
        <v>0.12417057500000001</v>
      </c>
      <c r="K1969" s="33">
        <f t="shared" si="490"/>
        <v>1.8625586249999999E-2</v>
      </c>
      <c r="L1969" s="52"/>
      <c r="O1969" s="2">
        <f t="shared" si="491"/>
        <v>2.3252916666666668E-2</v>
      </c>
      <c r="P1969" s="2">
        <f t="shared" si="492"/>
        <v>16.742100000000001</v>
      </c>
      <c r="Q1969" s="7">
        <f t="shared" si="493"/>
        <v>75.824728260869563</v>
      </c>
      <c r="R1969" s="2">
        <v>1.2</v>
      </c>
      <c r="S1969" s="2">
        <f t="shared" si="497"/>
        <v>4.45</v>
      </c>
      <c r="T1969" s="2"/>
      <c r="U1969" s="2"/>
      <c r="Y1969" s="8">
        <f t="shared" si="495"/>
        <v>2.6993603260869565</v>
      </c>
    </row>
    <row r="1970" spans="1:25" x14ac:dyDescent="0.25">
      <c r="A1970" s="34">
        <f t="shared" si="494"/>
        <v>1958</v>
      </c>
      <c r="B1970" s="34"/>
      <c r="C1970" s="57" t="s">
        <v>444</v>
      </c>
      <c r="D1970" s="43">
        <v>219</v>
      </c>
      <c r="E1970" s="43"/>
      <c r="F1970" s="36">
        <v>7.1639999999999995E-2</v>
      </c>
      <c r="G1970" s="36">
        <f t="shared" si="498"/>
        <v>1.411308E-2</v>
      </c>
      <c r="H1970" s="36">
        <v>7.3610000000000004E-3</v>
      </c>
      <c r="I1970" s="36">
        <f t="shared" si="499"/>
        <v>1.1041499999999999E-3</v>
      </c>
      <c r="J1970" s="32">
        <f t="shared" si="496"/>
        <v>1.6378225E-2</v>
      </c>
      <c r="K1970" s="33">
        <f t="shared" si="490"/>
        <v>2.45673375E-3</v>
      </c>
      <c r="L1970" s="52"/>
      <c r="O1970" s="2">
        <f t="shared" si="491"/>
        <v>3.0670833333333336E-3</v>
      </c>
      <c r="P1970" s="2">
        <f t="shared" si="492"/>
        <v>2.2083000000000004</v>
      </c>
      <c r="Q1970" s="7">
        <f t="shared" si="493"/>
        <v>10.001358695652176</v>
      </c>
      <c r="R1970" s="2">
        <v>1.2</v>
      </c>
      <c r="S1970" s="2">
        <f t="shared" si="497"/>
        <v>4.45</v>
      </c>
      <c r="T1970" s="2"/>
      <c r="U1970" s="2"/>
      <c r="Y1970" s="8">
        <f t="shared" si="495"/>
        <v>0.3560483695652174</v>
      </c>
    </row>
    <row r="1971" spans="1:25" x14ac:dyDescent="0.25">
      <c r="A1971" s="34">
        <f t="shared" si="494"/>
        <v>1959</v>
      </c>
      <c r="B1971" s="34" t="e">
        <f>B1962+1</f>
        <v>#REF!</v>
      </c>
      <c r="C1971" s="42" t="s">
        <v>511</v>
      </c>
      <c r="D1971" s="43">
        <v>27</v>
      </c>
      <c r="E1971" s="43"/>
      <c r="F1971" s="36">
        <v>0.25268299999999999</v>
      </c>
      <c r="G1971" s="36">
        <f t="shared" si="498"/>
        <v>4.9778550999999997E-2</v>
      </c>
      <c r="H1971" s="36">
        <v>8.6113999999999996E-2</v>
      </c>
      <c r="I1971" s="36">
        <f t="shared" si="499"/>
        <v>1.2917099999999999E-2</v>
      </c>
      <c r="J1971" s="32">
        <f t="shared" si="496"/>
        <v>0.19160364999999999</v>
      </c>
      <c r="K1971" s="33">
        <f t="shared" si="490"/>
        <v>2.8740547499999998E-2</v>
      </c>
      <c r="L1971" s="52"/>
      <c r="O1971" s="2">
        <f t="shared" si="491"/>
        <v>3.5880833333333334E-2</v>
      </c>
      <c r="P1971" s="2">
        <f t="shared" si="492"/>
        <v>25.834199999999999</v>
      </c>
      <c r="Q1971" s="7">
        <f t="shared" si="493"/>
        <v>117.00271739130434</v>
      </c>
      <c r="R1971" s="2">
        <v>1.2</v>
      </c>
      <c r="S1971" s="2">
        <f t="shared" si="497"/>
        <v>4.45</v>
      </c>
      <c r="T1971" s="2"/>
      <c r="U1971" s="2"/>
      <c r="Y1971" s="8">
        <f t="shared" si="495"/>
        <v>4.1652967391304347</v>
      </c>
    </row>
    <row r="1972" spans="1:25" x14ac:dyDescent="0.25">
      <c r="A1972" s="34">
        <f t="shared" si="494"/>
        <v>1960</v>
      </c>
      <c r="B1972" s="34" t="e">
        <f>B1971+1</f>
        <v>#REF!</v>
      </c>
      <c r="C1972" s="42" t="s">
        <v>511</v>
      </c>
      <c r="D1972" s="43" t="s">
        <v>512</v>
      </c>
      <c r="E1972" s="43"/>
      <c r="F1972" s="36">
        <v>0.13482</v>
      </c>
      <c r="G1972" s="36">
        <f t="shared" si="498"/>
        <v>2.655954E-2</v>
      </c>
      <c r="H1972" s="36">
        <v>8.9982999999999994E-2</v>
      </c>
      <c r="I1972" s="36">
        <f t="shared" si="499"/>
        <v>1.3497449999999999E-2</v>
      </c>
      <c r="J1972" s="32">
        <f t="shared" si="496"/>
        <v>0.20021217499999999</v>
      </c>
      <c r="K1972" s="33">
        <f t="shared" si="490"/>
        <v>3.0031826249999997E-2</v>
      </c>
      <c r="L1972" s="52"/>
      <c r="O1972" s="2">
        <f t="shared" si="491"/>
        <v>3.7492916666666667E-2</v>
      </c>
      <c r="P1972" s="2">
        <f t="shared" si="492"/>
        <v>26.994900000000001</v>
      </c>
      <c r="Q1972" s="7">
        <f t="shared" si="493"/>
        <v>122.25951086956522</v>
      </c>
      <c r="R1972" s="2">
        <v>1.2</v>
      </c>
      <c r="S1972" s="2">
        <f t="shared" si="497"/>
        <v>4.45</v>
      </c>
      <c r="T1972" s="2"/>
      <c r="U1972" s="2"/>
      <c r="Y1972" s="8">
        <f t="shared" si="495"/>
        <v>4.3524385869565219</v>
      </c>
    </row>
    <row r="1973" spans="1:25" x14ac:dyDescent="0.25">
      <c r="A1973" s="34">
        <f t="shared" si="494"/>
        <v>1961</v>
      </c>
      <c r="B1973" s="34" t="e">
        <f>B1972+1</f>
        <v>#REF!</v>
      </c>
      <c r="C1973" s="42" t="s">
        <v>511</v>
      </c>
      <c r="D1973" s="43" t="s">
        <v>513</v>
      </c>
      <c r="E1973" s="43"/>
      <c r="F1973" s="36">
        <v>7.5300000000000006E-2</v>
      </c>
      <c r="G1973" s="36">
        <f t="shared" si="498"/>
        <v>1.4834100000000001E-2</v>
      </c>
      <c r="H1973" s="36">
        <v>1.3246000000000001E-2</v>
      </c>
      <c r="I1973" s="36">
        <f t="shared" si="499"/>
        <v>1.9869000000000002E-3</v>
      </c>
      <c r="J1973" s="32">
        <f t="shared" si="496"/>
        <v>2.9472350000000001E-2</v>
      </c>
      <c r="K1973" s="33">
        <f t="shared" si="490"/>
        <v>4.4208525E-3</v>
      </c>
      <c r="L1973" s="52"/>
      <c r="O1973" s="2">
        <f t="shared" si="491"/>
        <v>5.519166666666667E-3</v>
      </c>
      <c r="P1973" s="2">
        <f t="shared" si="492"/>
        <v>3.9738000000000007</v>
      </c>
      <c r="Q1973" s="7">
        <f t="shared" si="493"/>
        <v>17.997282608695656</v>
      </c>
      <c r="R1973" s="2">
        <v>1.2</v>
      </c>
      <c r="S1973" s="2">
        <f t="shared" si="497"/>
        <v>4.45</v>
      </c>
      <c r="T1973" s="2"/>
      <c r="U1973" s="2"/>
      <c r="Y1973" s="8">
        <f t="shared" si="495"/>
        <v>0.64070326086956531</v>
      </c>
    </row>
    <row r="1974" spans="1:25" x14ac:dyDescent="0.25">
      <c r="A1974" s="34">
        <f t="shared" ref="A1974:A2000" si="500">A1973+1</f>
        <v>1962</v>
      </c>
      <c r="B1974" s="34" t="e">
        <f>B1973+1</f>
        <v>#REF!</v>
      </c>
      <c r="C1974" s="42" t="s">
        <v>511</v>
      </c>
      <c r="D1974" s="43">
        <v>84</v>
      </c>
      <c r="E1974" s="43"/>
      <c r="F1974" s="36">
        <v>0.53533600000000003</v>
      </c>
      <c r="G1974" s="36">
        <f t="shared" si="498"/>
        <v>0.10546119200000001</v>
      </c>
      <c r="H1974" s="36">
        <v>9.2240000000000003E-2</v>
      </c>
      <c r="I1974" s="36">
        <f t="shared" si="499"/>
        <v>1.3835999999999999E-2</v>
      </c>
      <c r="J1974" s="32">
        <f t="shared" si="496"/>
        <v>0.20523400000000003</v>
      </c>
      <c r="K1974" s="33">
        <f t="shared" si="490"/>
        <v>3.0785100000000003E-2</v>
      </c>
      <c r="L1974" s="52"/>
      <c r="O1974" s="2">
        <f t="shared" si="491"/>
        <v>3.8433333333333333E-2</v>
      </c>
      <c r="P1974" s="2">
        <f t="shared" si="492"/>
        <v>27.672000000000001</v>
      </c>
      <c r="Q1974" s="7">
        <f t="shared" si="493"/>
        <v>125.32608695652175</v>
      </c>
      <c r="R1974" s="2">
        <v>1.2</v>
      </c>
      <c r="S1974" s="2">
        <f t="shared" si="497"/>
        <v>4.45</v>
      </c>
      <c r="T1974" s="2"/>
      <c r="U1974" s="2"/>
      <c r="Y1974" s="8">
        <f t="shared" si="495"/>
        <v>4.4616086956521741</v>
      </c>
    </row>
    <row r="1975" spans="1:25" x14ac:dyDescent="0.25">
      <c r="A1975" s="34">
        <f t="shared" si="500"/>
        <v>1963</v>
      </c>
      <c r="B1975" s="34" t="e">
        <f>B1974+1</f>
        <v>#REF!</v>
      </c>
      <c r="C1975" s="42" t="s">
        <v>511</v>
      </c>
      <c r="D1975" s="43">
        <v>98</v>
      </c>
      <c r="E1975" s="43"/>
      <c r="F1975" s="36">
        <v>0.5</v>
      </c>
      <c r="G1975" s="36">
        <f t="shared" si="498"/>
        <v>9.8500000000000004E-2</v>
      </c>
      <c r="H1975" s="36">
        <v>8.1939999999999999E-2</v>
      </c>
      <c r="I1975" s="36">
        <f t="shared" si="499"/>
        <v>1.2291E-2</v>
      </c>
      <c r="J1975" s="32">
        <f t="shared" si="496"/>
        <v>0.18231649999999999</v>
      </c>
      <c r="K1975" s="33">
        <f t="shared" si="490"/>
        <v>2.7347475E-2</v>
      </c>
      <c r="L1975" s="52"/>
      <c r="O1975" s="2">
        <f t="shared" si="491"/>
        <v>3.4141666666666667E-2</v>
      </c>
      <c r="P1975" s="2">
        <f t="shared" si="492"/>
        <v>24.582000000000001</v>
      </c>
      <c r="Q1975" s="7">
        <f t="shared" si="493"/>
        <v>111.33152173913044</v>
      </c>
      <c r="R1975" s="2">
        <v>1.2</v>
      </c>
      <c r="S1975" s="2">
        <f t="shared" si="497"/>
        <v>4.45</v>
      </c>
      <c r="T1975" s="2"/>
      <c r="U1975" s="2"/>
      <c r="Y1975" s="8">
        <f t="shared" si="495"/>
        <v>3.9634021739130434</v>
      </c>
    </row>
    <row r="1976" spans="1:25" x14ac:dyDescent="0.25">
      <c r="A1976" s="34">
        <f t="shared" si="500"/>
        <v>1964</v>
      </c>
      <c r="B1976" s="34" t="e">
        <f>B1975+1</f>
        <v>#REF!</v>
      </c>
      <c r="C1976" s="42" t="s">
        <v>511</v>
      </c>
      <c r="D1976" s="43" t="s">
        <v>514</v>
      </c>
      <c r="E1976" s="43"/>
      <c r="F1976" s="36">
        <v>0.152278</v>
      </c>
      <c r="G1976" s="36">
        <f t="shared" si="498"/>
        <v>2.9998766E-2</v>
      </c>
      <c r="H1976" s="36">
        <v>1.3246000000000001E-2</v>
      </c>
      <c r="I1976" s="36">
        <f t="shared" si="499"/>
        <v>1.9869000000000002E-3</v>
      </c>
      <c r="J1976" s="32">
        <f t="shared" si="496"/>
        <v>2.9472350000000001E-2</v>
      </c>
      <c r="K1976" s="33">
        <f t="shared" si="490"/>
        <v>4.4208525E-3</v>
      </c>
      <c r="L1976" s="52"/>
      <c r="O1976" s="2">
        <f t="shared" si="491"/>
        <v>5.519166666666667E-3</v>
      </c>
      <c r="P1976" s="2">
        <f t="shared" si="492"/>
        <v>3.9738000000000007</v>
      </c>
      <c r="Q1976" s="7">
        <f t="shared" si="493"/>
        <v>17.997282608695656</v>
      </c>
      <c r="R1976" s="2">
        <v>1.2</v>
      </c>
      <c r="S1976" s="2">
        <f t="shared" si="497"/>
        <v>4.45</v>
      </c>
      <c r="T1976" s="2"/>
      <c r="U1976" s="2"/>
      <c r="Y1976" s="8">
        <f t="shared" si="495"/>
        <v>0.64070326086956531</v>
      </c>
    </row>
    <row r="1977" spans="1:25" x14ac:dyDescent="0.25">
      <c r="A1977" s="34">
        <f t="shared" si="500"/>
        <v>1965</v>
      </c>
      <c r="B1977" s="34"/>
      <c r="C1977" s="57" t="s">
        <v>515</v>
      </c>
      <c r="D1977" s="43" t="s">
        <v>516</v>
      </c>
      <c r="E1977" s="43"/>
      <c r="F1977" s="36">
        <v>0.223942</v>
      </c>
      <c r="G1977" s="36">
        <f t="shared" si="498"/>
        <v>4.4116574000000006E-2</v>
      </c>
      <c r="H1977" s="36">
        <v>5.0319999999999997E-2</v>
      </c>
      <c r="I1977" s="36">
        <f t="shared" si="499"/>
        <v>7.5479999999999992E-3</v>
      </c>
      <c r="J1977" s="32">
        <f t="shared" si="496"/>
        <v>0.11196199999999999</v>
      </c>
      <c r="K1977" s="33">
        <f t="shared" si="490"/>
        <v>1.6794299999999998E-2</v>
      </c>
      <c r="L1977" s="52"/>
      <c r="O1977" s="2">
        <f t="shared" si="491"/>
        <v>2.0966666666666665E-2</v>
      </c>
      <c r="P1977" s="2">
        <f t="shared" si="492"/>
        <v>15.096</v>
      </c>
      <c r="Q1977" s="7">
        <f t="shared" si="493"/>
        <v>68.369565217391312</v>
      </c>
      <c r="R1977" s="2">
        <v>1.2</v>
      </c>
      <c r="S1977" s="2">
        <f t="shared" si="497"/>
        <v>4.45</v>
      </c>
      <c r="T1977" s="2"/>
      <c r="U1977" s="2"/>
      <c r="Y1977" s="8">
        <f t="shared" si="495"/>
        <v>2.4339565217391304</v>
      </c>
    </row>
    <row r="1978" spans="1:25" x14ac:dyDescent="0.25">
      <c r="A1978" s="34">
        <f t="shared" si="500"/>
        <v>1966</v>
      </c>
      <c r="B1978" s="34" t="e">
        <f>B1976+1</f>
        <v>#REF!</v>
      </c>
      <c r="C1978" s="57" t="s">
        <v>515</v>
      </c>
      <c r="D1978" s="43">
        <v>553</v>
      </c>
      <c r="E1978" s="43"/>
      <c r="F1978" s="36">
        <v>0.30955199999999999</v>
      </c>
      <c r="G1978" s="36">
        <f t="shared" si="498"/>
        <v>6.0981744000000004E-2</v>
      </c>
      <c r="H1978" s="36">
        <v>6.4380000000000007E-2</v>
      </c>
      <c r="I1978" s="36">
        <f t="shared" si="499"/>
        <v>9.6570000000000007E-3</v>
      </c>
      <c r="J1978" s="32">
        <f t="shared" si="496"/>
        <v>0.14324550000000003</v>
      </c>
      <c r="K1978" s="33">
        <f t="shared" si="490"/>
        <v>2.1486825000000005E-2</v>
      </c>
      <c r="L1978" s="52"/>
      <c r="O1978" s="2">
        <f t="shared" si="491"/>
        <v>2.6825000000000005E-2</v>
      </c>
      <c r="P1978" s="2">
        <f t="shared" si="492"/>
        <v>19.314000000000004</v>
      </c>
      <c r="Q1978" s="7">
        <f t="shared" si="493"/>
        <v>87.472826086956545</v>
      </c>
      <c r="R1978" s="2">
        <v>1.2</v>
      </c>
      <c r="S1978" s="2">
        <f t="shared" si="497"/>
        <v>4.45</v>
      </c>
      <c r="T1978" s="2"/>
      <c r="U1978" s="2"/>
      <c r="Y1978" s="8">
        <f t="shared" si="495"/>
        <v>3.1140326086956525</v>
      </c>
    </row>
    <row r="1979" spans="1:25" x14ac:dyDescent="0.25">
      <c r="A1979" s="34">
        <f t="shared" si="500"/>
        <v>1967</v>
      </c>
      <c r="B1979" s="34"/>
      <c r="C1979" s="49" t="s">
        <v>406</v>
      </c>
      <c r="D1979" s="34">
        <v>137</v>
      </c>
      <c r="E1979" s="34">
        <v>1</v>
      </c>
      <c r="F1979" s="36">
        <v>0.133524</v>
      </c>
      <c r="G1979" s="36">
        <f t="shared" si="498"/>
        <v>2.6304228000000002E-2</v>
      </c>
      <c r="H1979" s="36">
        <v>0.14278299999999999</v>
      </c>
      <c r="I1979" s="36">
        <f t="shared" si="499"/>
        <v>2.1417449999999998E-2</v>
      </c>
      <c r="J1979" s="32">
        <f t="shared" si="496"/>
        <v>0.26414854999999998</v>
      </c>
      <c r="K1979" s="33">
        <f t="shared" si="490"/>
        <v>3.9622282499999995E-2</v>
      </c>
      <c r="L1979" s="52"/>
      <c r="O1979" s="2">
        <f t="shared" si="491"/>
        <v>5.9492916666666666E-2</v>
      </c>
      <c r="P1979" s="2">
        <f t="shared" si="492"/>
        <v>42.834899999999998</v>
      </c>
      <c r="Q1979" s="7">
        <f t="shared" si="493"/>
        <v>193.99864130434781</v>
      </c>
      <c r="R1979" s="2">
        <v>1.2</v>
      </c>
      <c r="S1979" s="2">
        <f t="shared" si="497"/>
        <v>3.7</v>
      </c>
      <c r="T1979" s="2"/>
      <c r="U1979" s="2"/>
      <c r="Y1979" s="8">
        <f t="shared" si="495"/>
        <v>5.7423597826086956</v>
      </c>
    </row>
    <row r="1980" spans="1:25" x14ac:dyDescent="0.25">
      <c r="A1980" s="34">
        <f t="shared" si="500"/>
        <v>1968</v>
      </c>
      <c r="B1980" s="34"/>
      <c r="C1980" s="49" t="s">
        <v>406</v>
      </c>
      <c r="D1980" s="34">
        <v>137</v>
      </c>
      <c r="E1980" s="34">
        <v>2</v>
      </c>
      <c r="F1980" s="36">
        <v>0.133524</v>
      </c>
      <c r="G1980" s="36">
        <f t="shared" si="498"/>
        <v>2.6304228000000002E-2</v>
      </c>
      <c r="H1980" s="36">
        <v>0</v>
      </c>
      <c r="I1980" s="36">
        <f t="shared" si="499"/>
        <v>0</v>
      </c>
      <c r="J1980" s="32">
        <f t="shared" si="496"/>
        <v>0</v>
      </c>
      <c r="K1980" s="33">
        <f t="shared" si="490"/>
        <v>0</v>
      </c>
      <c r="L1980" s="52"/>
      <c r="O1980" s="2">
        <f t="shared" si="491"/>
        <v>0</v>
      </c>
      <c r="P1980" s="2">
        <f t="shared" si="492"/>
        <v>0</v>
      </c>
      <c r="Q1980" s="7">
        <f t="shared" si="493"/>
        <v>0</v>
      </c>
      <c r="R1980" s="2">
        <v>1.2</v>
      </c>
      <c r="S1980" s="2">
        <f t="shared" si="497"/>
        <v>4.45</v>
      </c>
      <c r="T1980" s="2"/>
      <c r="U1980" s="2"/>
      <c r="Y1980" s="8">
        <f t="shared" si="495"/>
        <v>0</v>
      </c>
    </row>
    <row r="1981" spans="1:25" x14ac:dyDescent="0.25">
      <c r="A1981" s="34">
        <f t="shared" si="500"/>
        <v>1969</v>
      </c>
      <c r="B1981" s="34" t="e">
        <f>B1978+1</f>
        <v>#REF!</v>
      </c>
      <c r="C1981" s="49" t="s">
        <v>406</v>
      </c>
      <c r="D1981" s="43" t="s">
        <v>517</v>
      </c>
      <c r="E1981" s="43"/>
      <c r="F1981" s="36">
        <v>0.15864300000000001</v>
      </c>
      <c r="G1981" s="36">
        <f t="shared" si="498"/>
        <v>3.1252671000000003E-2</v>
      </c>
      <c r="H1981" s="36">
        <v>5.6529999999999997E-2</v>
      </c>
      <c r="I1981" s="36">
        <f t="shared" si="499"/>
        <v>8.4794999999999992E-3</v>
      </c>
      <c r="J1981" s="32">
        <f t="shared" si="496"/>
        <v>0.12577925000000001</v>
      </c>
      <c r="K1981" s="33">
        <f t="shared" si="490"/>
        <v>1.8866887500000002E-2</v>
      </c>
      <c r="L1981" s="52"/>
      <c r="O1981" s="2">
        <f t="shared" si="491"/>
        <v>2.3554166666666668E-2</v>
      </c>
      <c r="P1981" s="2">
        <f t="shared" si="492"/>
        <v>16.959</v>
      </c>
      <c r="Q1981" s="7">
        <f t="shared" si="493"/>
        <v>76.807065217391298</v>
      </c>
      <c r="R1981" s="2">
        <v>1.2</v>
      </c>
      <c r="S1981" s="2">
        <f t="shared" si="497"/>
        <v>4.45</v>
      </c>
      <c r="T1981" s="2"/>
      <c r="U1981" s="2"/>
      <c r="Y1981" s="8">
        <f t="shared" si="495"/>
        <v>2.7343315217391306</v>
      </c>
    </row>
    <row r="1982" spans="1:25" ht="30" x14ac:dyDescent="0.25">
      <c r="A1982" s="34">
        <f t="shared" si="500"/>
        <v>1970</v>
      </c>
      <c r="B1982" s="34"/>
      <c r="C1982" s="57" t="s">
        <v>518</v>
      </c>
      <c r="D1982" s="43" t="s">
        <v>519</v>
      </c>
      <c r="E1982" s="43"/>
      <c r="F1982" s="36">
        <v>0.24179800000000001</v>
      </c>
      <c r="G1982" s="36">
        <f t="shared" si="498"/>
        <v>4.7634206000000005E-2</v>
      </c>
      <c r="H1982" s="36">
        <v>3.9007E-2</v>
      </c>
      <c r="I1982" s="36">
        <f t="shared" si="499"/>
        <v>5.85105E-3</v>
      </c>
      <c r="J1982" s="32">
        <f t="shared" si="496"/>
        <v>8.6790575000000023E-2</v>
      </c>
      <c r="K1982" s="33">
        <f t="shared" si="490"/>
        <v>1.3018586250000004E-2</v>
      </c>
      <c r="L1982" s="52"/>
      <c r="O1982" s="2">
        <f t="shared" si="491"/>
        <v>1.6252916666666669E-2</v>
      </c>
      <c r="P1982" s="2">
        <f t="shared" si="492"/>
        <v>11.702100000000002</v>
      </c>
      <c r="Q1982" s="7">
        <f t="shared" si="493"/>
        <v>52.998641304347835</v>
      </c>
      <c r="R1982" s="2">
        <v>1.2</v>
      </c>
      <c r="S1982" s="2">
        <f t="shared" si="497"/>
        <v>4.45</v>
      </c>
      <c r="T1982" s="2"/>
      <c r="U1982" s="2"/>
      <c r="Y1982" s="8">
        <f t="shared" si="495"/>
        <v>1.8867516304347831</v>
      </c>
    </row>
    <row r="1983" spans="1:25" ht="30" x14ac:dyDescent="0.25">
      <c r="A1983" s="34">
        <f t="shared" si="500"/>
        <v>1971</v>
      </c>
      <c r="B1983" s="34"/>
      <c r="C1983" s="57" t="s">
        <v>518</v>
      </c>
      <c r="D1983" s="43" t="s">
        <v>520</v>
      </c>
      <c r="E1983" s="43"/>
      <c r="F1983" s="36">
        <v>0.276808</v>
      </c>
      <c r="G1983" s="36">
        <f t="shared" si="498"/>
        <v>5.4531176000000001E-2</v>
      </c>
      <c r="H1983" s="36">
        <v>3.7536E-2</v>
      </c>
      <c r="I1983" s="36">
        <f t="shared" si="499"/>
        <v>5.6303999999999998E-3</v>
      </c>
      <c r="J1983" s="32">
        <f t="shared" si="496"/>
        <v>8.3517599999999997E-2</v>
      </c>
      <c r="K1983" s="33">
        <f t="shared" si="490"/>
        <v>1.252764E-2</v>
      </c>
      <c r="L1983" s="52"/>
      <c r="O1983" s="2">
        <f t="shared" si="491"/>
        <v>1.5640000000000001E-2</v>
      </c>
      <c r="P1983" s="2">
        <f t="shared" si="492"/>
        <v>11.260800000000001</v>
      </c>
      <c r="Q1983" s="7">
        <f t="shared" si="493"/>
        <v>51.000000000000007</v>
      </c>
      <c r="R1983" s="2">
        <v>1.2</v>
      </c>
      <c r="S1983" s="2">
        <f t="shared" si="497"/>
        <v>4.45</v>
      </c>
      <c r="T1983" s="2"/>
      <c r="U1983" s="2"/>
      <c r="Y1983" s="8">
        <f t="shared" si="495"/>
        <v>1.8155999999999999</v>
      </c>
    </row>
    <row r="1984" spans="1:25" x14ac:dyDescent="0.25">
      <c r="A1984" s="34">
        <f t="shared" si="500"/>
        <v>1972</v>
      </c>
      <c r="B1984" s="34"/>
      <c r="C1984" s="57" t="s">
        <v>521</v>
      </c>
      <c r="D1984" s="43">
        <v>134</v>
      </c>
      <c r="E1984" s="43"/>
      <c r="F1984" s="36">
        <v>0.371888</v>
      </c>
      <c r="G1984" s="36">
        <f t="shared" si="498"/>
        <v>7.3261936E-2</v>
      </c>
      <c r="H1984" s="36">
        <v>0.10521</v>
      </c>
      <c r="I1984" s="36">
        <f t="shared" si="499"/>
        <v>1.57815E-2</v>
      </c>
      <c r="J1984" s="32">
        <f t="shared" si="496"/>
        <v>0.23409225</v>
      </c>
      <c r="K1984" s="33">
        <f t="shared" si="490"/>
        <v>3.5113837500000002E-2</v>
      </c>
      <c r="L1984" s="52"/>
      <c r="O1984" s="2">
        <f t="shared" si="491"/>
        <v>4.3837500000000001E-2</v>
      </c>
      <c r="P1984" s="2">
        <f t="shared" si="492"/>
        <v>31.563000000000002</v>
      </c>
      <c r="Q1984" s="7">
        <f t="shared" si="493"/>
        <v>142.9483695652174</v>
      </c>
      <c r="R1984" s="2">
        <v>1.2</v>
      </c>
      <c r="S1984" s="2">
        <f t="shared" si="497"/>
        <v>4.45</v>
      </c>
      <c r="T1984" s="2"/>
      <c r="U1984" s="2"/>
      <c r="Y1984" s="8">
        <f t="shared" si="495"/>
        <v>5.0889619565217385</v>
      </c>
    </row>
    <row r="1985" spans="1:25" x14ac:dyDescent="0.25">
      <c r="A1985" s="34">
        <f t="shared" si="500"/>
        <v>1973</v>
      </c>
      <c r="B1985" s="34"/>
      <c r="C1985" s="57" t="s">
        <v>521</v>
      </c>
      <c r="D1985" s="43" t="s">
        <v>522</v>
      </c>
      <c r="E1985" s="43"/>
      <c r="F1985" s="36">
        <v>0.194078</v>
      </c>
      <c r="G1985" s="36">
        <f t="shared" si="498"/>
        <v>3.8233366000000005E-2</v>
      </c>
      <c r="H1985" s="36">
        <v>4.6449999999999998E-2</v>
      </c>
      <c r="I1985" s="36">
        <f t="shared" si="499"/>
        <v>6.9674999999999997E-3</v>
      </c>
      <c r="J1985" s="32">
        <f t="shared" si="496"/>
        <v>0.10335125000000001</v>
      </c>
      <c r="K1985" s="33">
        <f t="shared" si="490"/>
        <v>1.5502687500000001E-2</v>
      </c>
      <c r="L1985" s="52"/>
      <c r="O1985" s="2">
        <f t="shared" si="491"/>
        <v>1.9354166666666665E-2</v>
      </c>
      <c r="P1985" s="2">
        <f t="shared" si="492"/>
        <v>13.934999999999999</v>
      </c>
      <c r="Q1985" s="7">
        <f t="shared" si="493"/>
        <v>63.111413043478258</v>
      </c>
      <c r="R1985" s="2">
        <v>1.2</v>
      </c>
      <c r="S1985" s="2">
        <f t="shared" si="497"/>
        <v>4.45</v>
      </c>
      <c r="T1985" s="2"/>
      <c r="U1985" s="2"/>
      <c r="Y1985" s="8">
        <f t="shared" si="495"/>
        <v>2.2467663043478265</v>
      </c>
    </row>
    <row r="1986" spans="1:25" x14ac:dyDescent="0.25">
      <c r="A1986" s="34">
        <f t="shared" si="500"/>
        <v>1974</v>
      </c>
      <c r="B1986" s="34"/>
      <c r="C1986" s="57" t="s">
        <v>521</v>
      </c>
      <c r="D1986" s="43" t="s">
        <v>523</v>
      </c>
      <c r="E1986" s="43"/>
      <c r="F1986" s="36">
        <v>0.194078</v>
      </c>
      <c r="G1986" s="36">
        <f t="shared" si="498"/>
        <v>3.8233366000000005E-2</v>
      </c>
      <c r="H1986" s="36">
        <v>4.6440000000000002E-2</v>
      </c>
      <c r="I1986" s="36">
        <f t="shared" si="499"/>
        <v>6.966E-3</v>
      </c>
      <c r="J1986" s="32">
        <f t="shared" si="496"/>
        <v>0.103329</v>
      </c>
      <c r="K1986" s="33">
        <f t="shared" si="490"/>
        <v>1.549935E-2</v>
      </c>
      <c r="L1986" s="52"/>
      <c r="O1986" s="2">
        <f t="shared" si="491"/>
        <v>1.9350000000000003E-2</v>
      </c>
      <c r="P1986" s="2">
        <f t="shared" si="492"/>
        <v>13.932</v>
      </c>
      <c r="Q1986" s="7">
        <f t="shared" si="493"/>
        <v>63.097826086956523</v>
      </c>
      <c r="R1986" s="2">
        <v>1.2</v>
      </c>
      <c r="S1986" s="2">
        <f t="shared" si="497"/>
        <v>4.45</v>
      </c>
      <c r="T1986" s="2"/>
      <c r="U1986" s="2"/>
      <c r="Y1986" s="8">
        <f t="shared" si="495"/>
        <v>2.246282608695652</v>
      </c>
    </row>
    <row r="1987" spans="1:25" x14ac:dyDescent="0.25">
      <c r="A1987" s="34">
        <f t="shared" si="500"/>
        <v>1975</v>
      </c>
      <c r="B1987" s="34"/>
      <c r="C1987" s="57" t="s">
        <v>521</v>
      </c>
      <c r="D1987" s="43" t="s">
        <v>524</v>
      </c>
      <c r="E1987" s="43"/>
      <c r="F1987" s="36">
        <v>0.140898</v>
      </c>
      <c r="G1987" s="36">
        <f t="shared" si="498"/>
        <v>2.7756906000000001E-2</v>
      </c>
      <c r="H1987" s="36">
        <v>2.0670000000000001E-2</v>
      </c>
      <c r="I1987" s="36">
        <f t="shared" si="499"/>
        <v>3.1005E-3</v>
      </c>
      <c r="J1987" s="32">
        <f t="shared" si="496"/>
        <v>4.5990750000000004E-2</v>
      </c>
      <c r="K1987" s="33">
        <f t="shared" si="490"/>
        <v>6.8986125000000008E-3</v>
      </c>
      <c r="L1987" s="52"/>
      <c r="O1987" s="2">
        <f t="shared" si="491"/>
        <v>8.6125000000000004E-3</v>
      </c>
      <c r="P1987" s="2">
        <f t="shared" si="492"/>
        <v>6.2009999999999996</v>
      </c>
      <c r="Q1987" s="7">
        <f t="shared" si="493"/>
        <v>28.084239130434781</v>
      </c>
      <c r="R1987" s="2">
        <v>1.2</v>
      </c>
      <c r="S1987" s="2">
        <f t="shared" si="497"/>
        <v>4.45</v>
      </c>
      <c r="T1987" s="2"/>
      <c r="U1987" s="2"/>
      <c r="Y1987" s="8">
        <f t="shared" si="495"/>
        <v>0.99979891304347834</v>
      </c>
    </row>
    <row r="1988" spans="1:25" x14ac:dyDescent="0.25">
      <c r="A1988" s="34">
        <f t="shared" si="500"/>
        <v>1976</v>
      </c>
      <c r="C1988" s="42" t="s">
        <v>525</v>
      </c>
      <c r="D1988" s="43">
        <v>94</v>
      </c>
      <c r="E1988" s="43"/>
      <c r="F1988" s="36">
        <v>0.296431</v>
      </c>
      <c r="G1988" s="36">
        <f t="shared" si="498"/>
        <v>5.8396907000000005E-2</v>
      </c>
      <c r="H1988" s="36">
        <v>7.8754000000000005E-2</v>
      </c>
      <c r="I1988" s="36">
        <f t="shared" si="499"/>
        <v>1.18131E-2</v>
      </c>
      <c r="J1988" s="32">
        <f t="shared" si="496"/>
        <v>0.17522765000000001</v>
      </c>
      <c r="K1988" s="33">
        <f t="shared" si="490"/>
        <v>2.62841475E-2</v>
      </c>
      <c r="L1988" s="52"/>
      <c r="O1988" s="2">
        <f t="shared" si="491"/>
        <v>3.2814166666666672E-2</v>
      </c>
      <c r="P1988" s="2">
        <f t="shared" si="492"/>
        <v>23.626200000000004</v>
      </c>
      <c r="Q1988" s="7">
        <f t="shared" si="493"/>
        <v>107.00271739130437</v>
      </c>
      <c r="R1988" s="2">
        <v>1.2</v>
      </c>
      <c r="S1988" s="2">
        <f t="shared" si="497"/>
        <v>4.45</v>
      </c>
      <c r="T1988" s="2"/>
      <c r="U1988" s="2"/>
      <c r="Y1988" s="8">
        <f t="shared" si="495"/>
        <v>3.8092967391304349</v>
      </c>
    </row>
    <row r="1989" spans="1:25" x14ac:dyDescent="0.25">
      <c r="A1989" s="34">
        <f t="shared" si="500"/>
        <v>1977</v>
      </c>
      <c r="C1989" s="42" t="s">
        <v>525</v>
      </c>
      <c r="D1989" s="43">
        <v>96</v>
      </c>
      <c r="E1989" s="43"/>
      <c r="F1989" s="36">
        <v>0.232012</v>
      </c>
      <c r="G1989" s="36">
        <f t="shared" si="498"/>
        <v>4.5706363999999999E-2</v>
      </c>
      <c r="H1989" s="36">
        <v>6.6780000000000006E-2</v>
      </c>
      <c r="I1989" s="36">
        <f t="shared" si="499"/>
        <v>1.0017E-2</v>
      </c>
      <c r="J1989" s="32">
        <f t="shared" si="496"/>
        <v>0.14858550000000001</v>
      </c>
      <c r="K1989" s="33">
        <f t="shared" si="490"/>
        <v>2.2287825000000001E-2</v>
      </c>
      <c r="L1989" s="52"/>
      <c r="O1989" s="2">
        <f t="shared" si="491"/>
        <v>2.7825000000000003E-2</v>
      </c>
      <c r="P1989" s="2">
        <f t="shared" si="492"/>
        <v>20.034000000000002</v>
      </c>
      <c r="Q1989" s="7">
        <f t="shared" si="493"/>
        <v>90.733695652173921</v>
      </c>
      <c r="R1989" s="2">
        <v>1.2</v>
      </c>
      <c r="S1989" s="2">
        <f t="shared" si="497"/>
        <v>4.45</v>
      </c>
      <c r="T1989" s="2"/>
      <c r="U1989" s="2"/>
      <c r="Y1989" s="8">
        <f t="shared" si="495"/>
        <v>3.2301195652173917</v>
      </c>
    </row>
    <row r="1990" spans="1:25" x14ac:dyDescent="0.25">
      <c r="A1990" s="34">
        <f t="shared" si="500"/>
        <v>1978</v>
      </c>
      <c r="C1990" s="42" t="s">
        <v>525</v>
      </c>
      <c r="D1990" s="43">
        <v>98</v>
      </c>
      <c r="E1990" s="43"/>
      <c r="F1990" s="36">
        <v>0.26195499999999999</v>
      </c>
      <c r="G1990" s="36">
        <f t="shared" si="498"/>
        <v>5.1605135000000003E-2</v>
      </c>
      <c r="H1990" s="36">
        <v>3.848E-2</v>
      </c>
      <c r="I1990" s="36">
        <f t="shared" si="499"/>
        <v>5.7720000000000002E-3</v>
      </c>
      <c r="J1990" s="32">
        <f t="shared" si="496"/>
        <v>8.5618E-2</v>
      </c>
      <c r="K1990" s="33">
        <f t="shared" si="490"/>
        <v>1.28427E-2</v>
      </c>
      <c r="L1990" s="52"/>
      <c r="O1990" s="2">
        <f t="shared" si="491"/>
        <v>1.6033333333333333E-2</v>
      </c>
      <c r="P1990" s="2">
        <f t="shared" si="492"/>
        <v>11.544</v>
      </c>
      <c r="Q1990" s="7">
        <f t="shared" si="493"/>
        <v>52.282608695652179</v>
      </c>
      <c r="R1990" s="2">
        <v>1.2</v>
      </c>
      <c r="S1990" s="2">
        <f t="shared" si="497"/>
        <v>4.45</v>
      </c>
      <c r="T1990" s="2"/>
      <c r="U1990" s="2"/>
      <c r="Y1990" s="8">
        <f t="shared" si="495"/>
        <v>1.8612608695652173</v>
      </c>
    </row>
    <row r="1991" spans="1:25" x14ac:dyDescent="0.25">
      <c r="A1991" s="34">
        <f t="shared" si="500"/>
        <v>1979</v>
      </c>
      <c r="B1991" s="34" t="e">
        <f>B1981+1</f>
        <v>#REF!</v>
      </c>
      <c r="C1991" s="42" t="s">
        <v>525</v>
      </c>
      <c r="D1991" s="43">
        <v>118</v>
      </c>
      <c r="E1991" s="43"/>
      <c r="F1991" s="36">
        <v>0.15926399999999999</v>
      </c>
      <c r="G1991" s="36">
        <f t="shared" si="498"/>
        <v>3.1375007999999996E-2</v>
      </c>
      <c r="H1991" s="36">
        <v>2.9600000000000001E-2</v>
      </c>
      <c r="I1991" s="36">
        <f t="shared" si="499"/>
        <v>4.4400000000000004E-3</v>
      </c>
      <c r="J1991" s="32">
        <f t="shared" si="496"/>
        <v>6.5860000000000002E-2</v>
      </c>
      <c r="K1991" s="33">
        <f t="shared" si="490"/>
        <v>9.8790000000000006E-3</v>
      </c>
      <c r="L1991" s="52"/>
      <c r="O1991" s="2">
        <f t="shared" si="491"/>
        <v>1.2333333333333335E-2</v>
      </c>
      <c r="P1991" s="2">
        <f t="shared" si="492"/>
        <v>8.8800000000000008</v>
      </c>
      <c r="Q1991" s="7">
        <f t="shared" si="493"/>
        <v>40.217391304347828</v>
      </c>
      <c r="R1991" s="2">
        <v>1.2</v>
      </c>
      <c r="S1991" s="2">
        <f t="shared" si="497"/>
        <v>4.45</v>
      </c>
      <c r="T1991" s="2"/>
      <c r="U1991" s="2"/>
      <c r="Y1991" s="8">
        <f t="shared" si="495"/>
        <v>1.4317391304347826</v>
      </c>
    </row>
    <row r="1992" spans="1:25" x14ac:dyDescent="0.25">
      <c r="A1992" s="34">
        <f t="shared" si="500"/>
        <v>1980</v>
      </c>
      <c r="B1992" s="34" t="e">
        <f>B1991+1</f>
        <v>#REF!</v>
      </c>
      <c r="C1992" s="57" t="s">
        <v>526</v>
      </c>
      <c r="D1992" s="43" t="s">
        <v>155</v>
      </c>
      <c r="E1992" s="43"/>
      <c r="F1992" s="36">
        <v>0.126305</v>
      </c>
      <c r="G1992" s="36">
        <f t="shared" si="498"/>
        <v>2.4882085000000002E-2</v>
      </c>
      <c r="H1992" s="36">
        <v>1.9859999999999999E-2</v>
      </c>
      <c r="I1992" s="36">
        <f t="shared" si="499"/>
        <v>2.9789999999999999E-3</v>
      </c>
      <c r="J1992" s="32">
        <f t="shared" si="496"/>
        <v>4.4188499999999999E-2</v>
      </c>
      <c r="K1992" s="33">
        <f t="shared" si="490"/>
        <v>6.6282749999999994E-3</v>
      </c>
      <c r="L1992" s="52"/>
      <c r="O1992" s="2">
        <f t="shared" si="491"/>
        <v>8.2749999999999994E-3</v>
      </c>
      <c r="P1992" s="2">
        <f t="shared" si="492"/>
        <v>5.9580000000000002</v>
      </c>
      <c r="Q1992" s="7">
        <f t="shared" si="493"/>
        <v>26.983695652173914</v>
      </c>
      <c r="R1992" s="2">
        <v>1.2</v>
      </c>
      <c r="S1992" s="2">
        <f t="shared" si="497"/>
        <v>4.45</v>
      </c>
      <c r="T1992" s="2"/>
      <c r="U1992" s="2"/>
      <c r="Y1992" s="8">
        <f t="shared" si="495"/>
        <v>0.96061956521739122</v>
      </c>
    </row>
    <row r="1993" spans="1:25" x14ac:dyDescent="0.25">
      <c r="A1993" s="34">
        <f t="shared" si="500"/>
        <v>1981</v>
      </c>
      <c r="B1993" s="34" t="e">
        <f>B1992+1</f>
        <v>#REF!</v>
      </c>
      <c r="C1993" s="57" t="s">
        <v>526</v>
      </c>
      <c r="D1993" s="44" t="s">
        <v>52</v>
      </c>
      <c r="E1993" s="43"/>
      <c r="F1993" s="36">
        <v>0.52077600000000002</v>
      </c>
      <c r="G1993" s="36">
        <f t="shared" si="498"/>
        <v>0.102592872</v>
      </c>
      <c r="H1993" s="36">
        <v>6.5859999999999932E-2</v>
      </c>
      <c r="I1993" s="36">
        <f t="shared" si="499"/>
        <v>9.8789999999999902E-3</v>
      </c>
      <c r="J1993" s="32">
        <f t="shared" si="496"/>
        <v>0.14653849999999985</v>
      </c>
      <c r="K1993" s="33">
        <f t="shared" si="490"/>
        <v>2.1980774999999977E-2</v>
      </c>
      <c r="L1993" s="52"/>
      <c r="O1993" s="2">
        <f t="shared" si="491"/>
        <v>2.7441666666666639E-2</v>
      </c>
      <c r="P1993" s="2">
        <f t="shared" si="492"/>
        <v>19.757999999999978</v>
      </c>
      <c r="Q1993" s="7">
        <f t="shared" si="493"/>
        <v>89.483695652173807</v>
      </c>
      <c r="R1993" s="2">
        <v>1.2</v>
      </c>
      <c r="S1993" s="2">
        <f t="shared" si="497"/>
        <v>4.45</v>
      </c>
      <c r="T1993" s="2"/>
      <c r="U1993" s="2"/>
      <c r="Y1993" s="8">
        <f t="shared" si="495"/>
        <v>3.185619565217388</v>
      </c>
    </row>
    <row r="1994" spans="1:25" x14ac:dyDescent="0.25">
      <c r="A1994" s="34">
        <f t="shared" si="500"/>
        <v>1982</v>
      </c>
      <c r="B1994" s="34" t="e">
        <f>B1993+1</f>
        <v>#REF!</v>
      </c>
      <c r="C1994" s="57" t="s">
        <v>526</v>
      </c>
      <c r="D1994" s="43">
        <v>14</v>
      </c>
      <c r="E1994" s="43"/>
      <c r="F1994" s="36">
        <v>0.29175499999999999</v>
      </c>
      <c r="G1994" s="36">
        <f t="shared" si="498"/>
        <v>5.7475735E-2</v>
      </c>
      <c r="H1994" s="36">
        <v>5.1520999999999997E-2</v>
      </c>
      <c r="I1994" s="36">
        <f t="shared" si="499"/>
        <v>7.7281499999999996E-3</v>
      </c>
      <c r="J1994" s="32">
        <f t="shared" si="496"/>
        <v>0.11463422500000002</v>
      </c>
      <c r="K1994" s="33">
        <f t="shared" si="490"/>
        <v>1.7195133750000001E-2</v>
      </c>
      <c r="L1994" s="52"/>
      <c r="O1994" s="2">
        <f t="shared" si="491"/>
        <v>2.1467083333333335E-2</v>
      </c>
      <c r="P1994" s="2">
        <f t="shared" si="492"/>
        <v>15.456300000000002</v>
      </c>
      <c r="Q1994" s="7">
        <f t="shared" si="493"/>
        <v>70.001358695652186</v>
      </c>
      <c r="R1994" s="2">
        <v>1.2</v>
      </c>
      <c r="S1994" s="2">
        <f t="shared" si="497"/>
        <v>4.45</v>
      </c>
      <c r="T1994" s="2"/>
      <c r="U1994" s="2"/>
      <c r="Y1994" s="8">
        <f t="shared" si="495"/>
        <v>2.492048369565218</v>
      </c>
    </row>
    <row r="1995" spans="1:25" x14ac:dyDescent="0.25">
      <c r="A1995" s="34">
        <f t="shared" si="500"/>
        <v>1983</v>
      </c>
      <c r="B1995" s="34" t="e">
        <f>#REF!+1</f>
        <v>#REF!</v>
      </c>
      <c r="C1995" s="57" t="s">
        <v>526</v>
      </c>
      <c r="D1995" s="43" t="s">
        <v>307</v>
      </c>
      <c r="E1995" s="43"/>
      <c r="F1995" s="36">
        <v>0.16247800000000001</v>
      </c>
      <c r="G1995" s="36">
        <f t="shared" si="498"/>
        <v>3.2008166000000005E-2</v>
      </c>
      <c r="H1995" s="36">
        <v>1.6192999999999999E-2</v>
      </c>
      <c r="I1995" s="36">
        <f t="shared" si="499"/>
        <v>2.4289499999999996E-3</v>
      </c>
      <c r="J1995" s="32">
        <f t="shared" si="496"/>
        <v>3.6029424999999997E-2</v>
      </c>
      <c r="K1995" s="33">
        <f t="shared" ref="K1995:K2059" si="501">J1995*0.15</f>
        <v>5.404413749999999E-3</v>
      </c>
      <c r="L1995" s="52"/>
      <c r="O1995" s="2">
        <f t="shared" si="491"/>
        <v>6.7470833333333332E-3</v>
      </c>
      <c r="P1995" s="2">
        <f t="shared" si="492"/>
        <v>4.8578999999999999</v>
      </c>
      <c r="Q1995" s="7">
        <f t="shared" si="493"/>
        <v>22.001358695652172</v>
      </c>
      <c r="R1995" s="2">
        <v>1.2</v>
      </c>
      <c r="S1995" s="2">
        <f t="shared" si="497"/>
        <v>4.45</v>
      </c>
      <c r="T1995" s="2"/>
      <c r="U1995" s="2"/>
      <c r="Y1995" s="8">
        <f t="shared" si="495"/>
        <v>0.78324836956521737</v>
      </c>
    </row>
    <row r="1996" spans="1:25" x14ac:dyDescent="0.25">
      <c r="A1996" s="34">
        <f t="shared" si="500"/>
        <v>1984</v>
      </c>
      <c r="B1996" s="34" t="e">
        <f>#REF!+1</f>
        <v>#REF!</v>
      </c>
      <c r="C1996" s="57" t="s">
        <v>526</v>
      </c>
      <c r="D1996" s="44" t="s">
        <v>527</v>
      </c>
      <c r="E1996" s="43"/>
      <c r="F1996" s="36">
        <v>0.26210899999999998</v>
      </c>
      <c r="G1996" s="36">
        <f t="shared" si="498"/>
        <v>5.1635473000000001E-2</v>
      </c>
      <c r="H1996" s="36">
        <v>2.6495999999999999E-2</v>
      </c>
      <c r="I1996" s="36">
        <f t="shared" si="499"/>
        <v>3.9743999999999995E-3</v>
      </c>
      <c r="J1996" s="32">
        <f t="shared" si="496"/>
        <v>5.8953600000000002E-2</v>
      </c>
      <c r="K1996" s="33">
        <f t="shared" si="501"/>
        <v>8.8430399999999999E-3</v>
      </c>
      <c r="L1996" s="24" t="s">
        <v>16</v>
      </c>
      <c r="O1996" s="2">
        <f t="shared" ref="O1996:O2060" si="502">H1996/2.4</f>
        <v>1.1039999999999999E-2</v>
      </c>
      <c r="P1996" s="2">
        <f t="shared" ref="P1996:P2060" si="503">O1996*24*30</f>
        <v>7.9487999999999994</v>
      </c>
      <c r="Q1996" s="7">
        <f t="shared" ref="Q1996:Q2060" si="504">P1996/0.2208</f>
        <v>36</v>
      </c>
      <c r="R1996" s="2">
        <v>1.2</v>
      </c>
      <c r="S1996" s="2">
        <f t="shared" si="497"/>
        <v>4.45</v>
      </c>
      <c r="T1996" s="2"/>
      <c r="U1996" s="2"/>
      <c r="Y1996" s="8">
        <f t="shared" si="495"/>
        <v>1.2816000000000001</v>
      </c>
    </row>
    <row r="1997" spans="1:25" x14ac:dyDescent="0.25">
      <c r="A1997" s="34">
        <f t="shared" si="500"/>
        <v>1985</v>
      </c>
      <c r="B1997" s="34" t="e">
        <f>B1996+1</f>
        <v>#REF!</v>
      </c>
      <c r="C1997" s="57" t="s">
        <v>526</v>
      </c>
      <c r="D1997" s="44" t="s">
        <v>129</v>
      </c>
      <c r="E1997" s="43"/>
      <c r="F1997" s="36">
        <v>0.100478</v>
      </c>
      <c r="G1997" s="36">
        <f t="shared" si="498"/>
        <v>1.9794166000000002E-2</v>
      </c>
      <c r="H1997" s="36">
        <v>2.2721000000000002E-2</v>
      </c>
      <c r="I1997" s="36">
        <f t="shared" si="499"/>
        <v>3.40815E-3</v>
      </c>
      <c r="J1997" s="32">
        <f t="shared" si="496"/>
        <v>5.0554225000000008E-2</v>
      </c>
      <c r="K1997" s="33">
        <f t="shared" si="501"/>
        <v>7.5831337500000011E-3</v>
      </c>
      <c r="L1997" s="52"/>
      <c r="O1997" s="2">
        <f t="shared" si="502"/>
        <v>9.4670833333333343E-3</v>
      </c>
      <c r="P1997" s="2">
        <f t="shared" si="503"/>
        <v>6.8163000000000009</v>
      </c>
      <c r="Q1997" s="7">
        <f t="shared" si="504"/>
        <v>30.870923913043484</v>
      </c>
      <c r="R1997" s="2">
        <v>1.2</v>
      </c>
      <c r="S1997" s="2">
        <f t="shared" si="497"/>
        <v>4.45</v>
      </c>
      <c r="T1997" s="2"/>
      <c r="U1997" s="2"/>
      <c r="Y1997" s="8">
        <f t="shared" si="495"/>
        <v>1.099004891304348</v>
      </c>
    </row>
    <row r="1998" spans="1:25" x14ac:dyDescent="0.25">
      <c r="A1998" s="34">
        <f t="shared" si="500"/>
        <v>1986</v>
      </c>
      <c r="B1998" s="34" t="e">
        <f>B1997+1</f>
        <v>#REF!</v>
      </c>
      <c r="C1998" s="57" t="s">
        <v>526</v>
      </c>
      <c r="D1998" s="44" t="s">
        <v>130</v>
      </c>
      <c r="E1998" s="43"/>
      <c r="F1998" s="36">
        <v>0.114659</v>
      </c>
      <c r="G1998" s="36">
        <f t="shared" si="498"/>
        <v>2.2587823E-2</v>
      </c>
      <c r="H1998" s="36">
        <v>2.2079999999999999E-2</v>
      </c>
      <c r="I1998" s="36">
        <f t="shared" si="499"/>
        <v>3.3119999999999998E-3</v>
      </c>
      <c r="J1998" s="32">
        <f t="shared" si="496"/>
        <v>4.9127999999999998E-2</v>
      </c>
      <c r="K1998" s="33">
        <f t="shared" si="501"/>
        <v>7.3691999999999994E-3</v>
      </c>
      <c r="L1998" s="52"/>
      <c r="O1998" s="2">
        <f t="shared" si="502"/>
        <v>9.1999999999999998E-3</v>
      </c>
      <c r="P1998" s="2">
        <f t="shared" si="503"/>
        <v>6.6239999999999997</v>
      </c>
      <c r="Q1998" s="7">
        <f t="shared" si="504"/>
        <v>30</v>
      </c>
      <c r="R1998" s="2">
        <v>1.2</v>
      </c>
      <c r="S1998" s="2">
        <f t="shared" si="497"/>
        <v>4.45</v>
      </c>
      <c r="T1998" s="2"/>
      <c r="U1998" s="2"/>
      <c r="Y1998" s="8">
        <f t="shared" si="495"/>
        <v>1.0679999999999998</v>
      </c>
    </row>
    <row r="1999" spans="1:25" x14ac:dyDescent="0.25">
      <c r="A1999" s="34">
        <f t="shared" si="500"/>
        <v>1987</v>
      </c>
      <c r="B1999" s="34" t="e">
        <f>B1998+1</f>
        <v>#REF!</v>
      </c>
      <c r="C1999" s="57" t="s">
        <v>526</v>
      </c>
      <c r="D1999" s="44" t="s">
        <v>131</v>
      </c>
      <c r="E1999" s="43"/>
      <c r="F1999" s="36">
        <v>0.10337499999999999</v>
      </c>
      <c r="G1999" s="36">
        <f t="shared" si="498"/>
        <v>2.0364875000000001E-2</v>
      </c>
      <c r="H1999" s="36">
        <v>1.5455999999999999E-2</v>
      </c>
      <c r="I1999" s="36">
        <f t="shared" si="499"/>
        <v>2.3184E-3</v>
      </c>
      <c r="J1999" s="32">
        <f t="shared" si="496"/>
        <v>3.4389599999999992E-2</v>
      </c>
      <c r="K1999" s="33">
        <f t="shared" si="501"/>
        <v>5.1584399999999985E-3</v>
      </c>
      <c r="L1999" s="52"/>
      <c r="O1999" s="2">
        <f t="shared" si="502"/>
        <v>6.4399999999999995E-3</v>
      </c>
      <c r="P1999" s="2">
        <f t="shared" si="503"/>
        <v>4.6367999999999991</v>
      </c>
      <c r="Q1999" s="7">
        <f t="shared" si="504"/>
        <v>20.999999999999996</v>
      </c>
      <c r="R1999" s="2">
        <v>1.2</v>
      </c>
      <c r="S1999" s="2">
        <f t="shared" si="497"/>
        <v>4.45</v>
      </c>
      <c r="T1999" s="2"/>
      <c r="U1999" s="2"/>
      <c r="Y1999" s="8">
        <f t="shared" si="495"/>
        <v>0.74759999999999982</v>
      </c>
    </row>
    <row r="2000" spans="1:25" x14ac:dyDescent="0.25">
      <c r="A2000" s="34">
        <f t="shared" si="500"/>
        <v>1988</v>
      </c>
      <c r="B2000" s="34" t="e">
        <f>B1999+1</f>
        <v>#REF!</v>
      </c>
      <c r="C2000" s="57" t="s">
        <v>526</v>
      </c>
      <c r="D2000" s="44" t="s">
        <v>167</v>
      </c>
      <c r="E2000" s="43"/>
      <c r="F2000" s="36">
        <v>0.17303099999999999</v>
      </c>
      <c r="G2000" s="36">
        <f t="shared" si="498"/>
        <v>3.4087106999999998E-2</v>
      </c>
      <c r="H2000" s="36">
        <v>3.3119999999999997E-2</v>
      </c>
      <c r="I2000" s="36">
        <f t="shared" si="499"/>
        <v>4.9679999999999993E-3</v>
      </c>
      <c r="J2000" s="32">
        <f t="shared" si="496"/>
        <v>7.3691999999999994E-2</v>
      </c>
      <c r="K2000" s="33">
        <f t="shared" si="501"/>
        <v>1.1053799999999999E-2</v>
      </c>
      <c r="L2000" s="52"/>
      <c r="O2000" s="2">
        <f t="shared" si="502"/>
        <v>1.38E-2</v>
      </c>
      <c r="P2000" s="2">
        <f t="shared" si="503"/>
        <v>9.9359999999999999</v>
      </c>
      <c r="Q2000" s="7">
        <f t="shared" si="504"/>
        <v>45</v>
      </c>
      <c r="R2000" s="2">
        <v>1.2</v>
      </c>
      <c r="S2000" s="2">
        <f t="shared" si="497"/>
        <v>4.45</v>
      </c>
      <c r="T2000" s="2"/>
      <c r="U2000" s="2"/>
      <c r="Y2000" s="8">
        <f t="shared" si="495"/>
        <v>1.6019999999999999</v>
      </c>
    </row>
    <row r="2001" spans="1:25" x14ac:dyDescent="0.25">
      <c r="O2001" s="2">
        <f t="shared" si="502"/>
        <v>0</v>
      </c>
      <c r="P2001" s="2">
        <f t="shared" si="503"/>
        <v>0</v>
      </c>
      <c r="Q2001" s="7">
        <f t="shared" si="504"/>
        <v>0</v>
      </c>
      <c r="R2001" s="2">
        <v>1.2</v>
      </c>
      <c r="S2001" s="2">
        <f t="shared" si="497"/>
        <v>4.45</v>
      </c>
      <c r="T2001" s="2"/>
      <c r="U2001" s="2"/>
      <c r="Y2001" s="8">
        <f t="shared" si="495"/>
        <v>0</v>
      </c>
    </row>
    <row r="2002" spans="1:25" x14ac:dyDescent="0.25">
      <c r="O2002" s="2">
        <f t="shared" si="502"/>
        <v>0</v>
      </c>
      <c r="P2002" s="2">
        <f t="shared" si="503"/>
        <v>0</v>
      </c>
      <c r="Q2002" s="7">
        <f t="shared" si="504"/>
        <v>0</v>
      </c>
      <c r="R2002" s="2">
        <v>1.2</v>
      </c>
      <c r="S2002" s="2">
        <f t="shared" si="497"/>
        <v>4.45</v>
      </c>
      <c r="T2002" s="2"/>
      <c r="U2002" s="2"/>
      <c r="Y2002" s="8">
        <f t="shared" si="495"/>
        <v>0</v>
      </c>
    </row>
    <row r="2003" spans="1:25" x14ac:dyDescent="0.25">
      <c r="C2003" s="59" t="s">
        <v>528</v>
      </c>
      <c r="D2003" s="60"/>
      <c r="E2003" s="60"/>
      <c r="O2003" s="2">
        <f t="shared" si="502"/>
        <v>0</v>
      </c>
      <c r="P2003" s="2">
        <f t="shared" si="503"/>
        <v>0</v>
      </c>
      <c r="Q2003" s="7">
        <f t="shared" si="504"/>
        <v>0</v>
      </c>
      <c r="R2003" s="2">
        <v>1.2</v>
      </c>
      <c r="S2003" s="2">
        <f t="shared" si="497"/>
        <v>4.45</v>
      </c>
      <c r="T2003" s="2"/>
      <c r="U2003" s="2"/>
      <c r="Y2003" s="8">
        <f t="shared" si="495"/>
        <v>0</v>
      </c>
    </row>
    <row r="2004" spans="1:25" x14ac:dyDescent="0.25">
      <c r="O2004" s="2">
        <f t="shared" si="502"/>
        <v>0</v>
      </c>
      <c r="P2004" s="2">
        <f t="shared" si="503"/>
        <v>0</v>
      </c>
      <c r="Q2004" s="7">
        <f t="shared" si="504"/>
        <v>0</v>
      </c>
      <c r="R2004" s="2">
        <v>1.2</v>
      </c>
      <c r="S2004" s="2">
        <f t="shared" si="497"/>
        <v>4.45</v>
      </c>
      <c r="T2004" s="2"/>
      <c r="U2004" s="2"/>
      <c r="Y2004" s="8">
        <f t="shared" si="495"/>
        <v>0</v>
      </c>
    </row>
    <row r="2005" spans="1:25" x14ac:dyDescent="0.25">
      <c r="A2005" s="93"/>
      <c r="B2005" s="61"/>
      <c r="C2005" s="94" t="s">
        <v>529</v>
      </c>
      <c r="D2005" s="97" t="s">
        <v>9</v>
      </c>
      <c r="E2005" s="97" t="s">
        <v>452</v>
      </c>
      <c r="F2005" s="93" t="s">
        <v>453</v>
      </c>
      <c r="G2005" s="93"/>
      <c r="H2005" s="93"/>
      <c r="I2005" s="93"/>
      <c r="J2005" s="93"/>
      <c r="K2005" s="93"/>
      <c r="T2005" s="2"/>
      <c r="U2005" s="2"/>
      <c r="Y2005" s="8">
        <f t="shared" si="495"/>
        <v>0</v>
      </c>
    </row>
    <row r="2006" spans="1:25" x14ac:dyDescent="0.25">
      <c r="A2006" s="93"/>
      <c r="B2006" s="61"/>
      <c r="C2006" s="95"/>
      <c r="D2006" s="98"/>
      <c r="E2006" s="98"/>
      <c r="F2006" s="93" t="s">
        <v>12</v>
      </c>
      <c r="G2006" s="93"/>
      <c r="H2006" s="93" t="s">
        <v>13</v>
      </c>
      <c r="I2006" s="93"/>
      <c r="J2006" s="93" t="s">
        <v>13</v>
      </c>
      <c r="K2006" s="93"/>
      <c r="T2006" s="2"/>
      <c r="U2006" s="2"/>
    </row>
    <row r="2007" spans="1:25" x14ac:dyDescent="0.25">
      <c r="A2007" s="93"/>
      <c r="B2007" s="61"/>
      <c r="C2007" s="96"/>
      <c r="D2007" s="99"/>
      <c r="E2007" s="99"/>
      <c r="F2007" s="62" t="s">
        <v>530</v>
      </c>
      <c r="G2007" s="62" t="s">
        <v>531</v>
      </c>
      <c r="H2007" s="62" t="s">
        <v>532</v>
      </c>
      <c r="I2007" s="62" t="s">
        <v>533</v>
      </c>
      <c r="J2007" s="62" t="s">
        <v>532</v>
      </c>
      <c r="K2007" s="62" t="s">
        <v>533</v>
      </c>
      <c r="L2007" s="15"/>
      <c r="M2007" s="15"/>
      <c r="T2007" s="2"/>
      <c r="U2007" s="2"/>
      <c r="Y2007" s="8" t="e">
        <f t="shared" ref="Y2007:Y2070" si="505">J2007/46*1000</f>
        <v>#VALUE!</v>
      </c>
    </row>
    <row r="2008" spans="1:25" x14ac:dyDescent="0.25">
      <c r="A2008" s="34">
        <v>1989</v>
      </c>
      <c r="B2008" s="34">
        <v>1</v>
      </c>
      <c r="C2008" s="63" t="s">
        <v>534</v>
      </c>
      <c r="D2008" s="64">
        <v>11</v>
      </c>
      <c r="E2008" s="64"/>
      <c r="F2008" s="65">
        <v>0.103834</v>
      </c>
      <c r="G2008" s="65">
        <f t="shared" ref="G2008:G2014" si="506">F2008*0.197</f>
        <v>2.0455298E-2</v>
      </c>
      <c r="H2008" s="66">
        <v>5.0047000000000001E-2</v>
      </c>
      <c r="I2008" s="66">
        <f t="shared" ref="I2008:I2013" si="507">H2008*0.15</f>
        <v>7.5070499999999995E-3</v>
      </c>
      <c r="J2008" s="32">
        <f t="shared" ref="J2008:J2071" si="508">O2008*R2008*S2008</f>
        <v>0.11135457500000001</v>
      </c>
      <c r="K2008" s="33">
        <f t="shared" si="501"/>
        <v>1.6703186250000002E-2</v>
      </c>
      <c r="L2008" s="33"/>
      <c r="O2008" s="2">
        <f t="shared" si="502"/>
        <v>2.0852916666666669E-2</v>
      </c>
      <c r="P2008" s="2">
        <f t="shared" si="503"/>
        <v>15.014100000000003</v>
      </c>
      <c r="Q2008" s="7">
        <f t="shared" si="504"/>
        <v>67.998641304347842</v>
      </c>
      <c r="R2008" s="2">
        <v>1.2</v>
      </c>
      <c r="S2008" s="2">
        <f t="shared" ref="S2008:S2071" si="509">IF(Q2008&lt;=$AE$6,$AF$6,IF(Q2008&lt;=$AE$7,$AF$7,IF(Q2008&lt;=$AE$8,$AF$8,IF(Q2008&lt;=$AE$9,$AF$9,IF(Q2008&lt;=$AE$10,$AF$10,0)))))</f>
        <v>4.45</v>
      </c>
      <c r="T2008" s="2"/>
      <c r="U2008" s="2"/>
      <c r="Y2008" s="8">
        <f t="shared" si="505"/>
        <v>2.4207516304347831</v>
      </c>
    </row>
    <row r="2009" spans="1:25" x14ac:dyDescent="0.25">
      <c r="A2009" s="34">
        <f>A2008+1</f>
        <v>1990</v>
      </c>
      <c r="B2009" s="34">
        <f>B2008+1</f>
        <v>2</v>
      </c>
      <c r="C2009" s="63" t="s">
        <v>534</v>
      </c>
      <c r="D2009" s="43">
        <v>12</v>
      </c>
      <c r="E2009" s="43"/>
      <c r="F2009" s="65">
        <v>0.226101</v>
      </c>
      <c r="G2009" s="65">
        <f t="shared" si="506"/>
        <v>4.4541897000000004E-2</v>
      </c>
      <c r="H2009" s="66">
        <v>8.3904000000000006E-2</v>
      </c>
      <c r="I2009" s="66">
        <f t="shared" si="507"/>
        <v>1.2585600000000001E-2</v>
      </c>
      <c r="J2009" s="32">
        <f t="shared" si="508"/>
        <v>0.18668640000000003</v>
      </c>
      <c r="K2009" s="33">
        <f t="shared" si="501"/>
        <v>2.8002960000000004E-2</v>
      </c>
      <c r="L2009" s="33"/>
      <c r="O2009" s="2">
        <f t="shared" si="502"/>
        <v>3.4960000000000005E-2</v>
      </c>
      <c r="P2009" s="2">
        <f t="shared" si="503"/>
        <v>25.171200000000002</v>
      </c>
      <c r="Q2009" s="7">
        <f t="shared" si="504"/>
        <v>114.00000000000001</v>
      </c>
      <c r="R2009" s="2">
        <v>1.2</v>
      </c>
      <c r="S2009" s="2">
        <f t="shared" si="509"/>
        <v>4.45</v>
      </c>
      <c r="T2009" s="2"/>
      <c r="U2009" s="2"/>
      <c r="Y2009" s="8">
        <f t="shared" si="505"/>
        <v>4.0584000000000007</v>
      </c>
    </row>
    <row r="2010" spans="1:25" x14ac:dyDescent="0.25">
      <c r="A2010" s="34">
        <f t="shared" ref="A2010:B2025" si="510">A2009+1</f>
        <v>1991</v>
      </c>
      <c r="B2010" s="34">
        <f t="shared" si="510"/>
        <v>3</v>
      </c>
      <c r="C2010" s="63" t="s">
        <v>534</v>
      </c>
      <c r="D2010" s="43">
        <v>15</v>
      </c>
      <c r="E2010" s="43"/>
      <c r="F2010" s="65">
        <v>0.19540099999999999</v>
      </c>
      <c r="G2010" s="65">
        <f t="shared" si="506"/>
        <v>3.8493997000000002E-2</v>
      </c>
      <c r="H2010" s="66">
        <v>7.2863999999999998E-2</v>
      </c>
      <c r="I2010" s="66">
        <f t="shared" si="507"/>
        <v>1.0929599999999999E-2</v>
      </c>
      <c r="J2010" s="32">
        <f t="shared" si="508"/>
        <v>0.1621224</v>
      </c>
      <c r="K2010" s="33">
        <f t="shared" si="501"/>
        <v>2.4318360000000001E-2</v>
      </c>
      <c r="L2010" s="33"/>
      <c r="O2010" s="2">
        <f t="shared" si="502"/>
        <v>3.0360000000000002E-2</v>
      </c>
      <c r="P2010" s="2">
        <f t="shared" si="503"/>
        <v>21.859200000000001</v>
      </c>
      <c r="Q2010" s="7">
        <f t="shared" si="504"/>
        <v>99.000000000000014</v>
      </c>
      <c r="R2010" s="2">
        <v>1.2</v>
      </c>
      <c r="S2010" s="2">
        <f t="shared" si="509"/>
        <v>4.45</v>
      </c>
      <c r="T2010" s="2"/>
      <c r="U2010" s="2"/>
      <c r="Y2010" s="8">
        <f t="shared" si="505"/>
        <v>3.5244</v>
      </c>
    </row>
    <row r="2011" spans="1:25" x14ac:dyDescent="0.25">
      <c r="A2011" s="34">
        <f t="shared" si="510"/>
        <v>1992</v>
      </c>
      <c r="B2011" s="34">
        <f t="shared" si="510"/>
        <v>4</v>
      </c>
      <c r="C2011" s="63" t="s">
        <v>534</v>
      </c>
      <c r="D2011" s="43">
        <v>16</v>
      </c>
      <c r="E2011" s="43"/>
      <c r="F2011" s="65">
        <v>0.21749299999999999</v>
      </c>
      <c r="G2011" s="65">
        <f t="shared" si="506"/>
        <v>4.2846121000000001E-2</v>
      </c>
      <c r="H2011" s="66">
        <v>5.0784000000000003E-2</v>
      </c>
      <c r="I2011" s="66">
        <f t="shared" si="507"/>
        <v>7.6176000000000004E-3</v>
      </c>
      <c r="J2011" s="32">
        <f t="shared" si="508"/>
        <v>0.11299440000000001</v>
      </c>
      <c r="K2011" s="33">
        <f t="shared" si="501"/>
        <v>1.6949160000000001E-2</v>
      </c>
      <c r="L2011" s="33"/>
      <c r="O2011" s="2">
        <f t="shared" si="502"/>
        <v>2.1160000000000002E-2</v>
      </c>
      <c r="P2011" s="2">
        <f t="shared" si="503"/>
        <v>15.235200000000003</v>
      </c>
      <c r="Q2011" s="7">
        <f t="shared" si="504"/>
        <v>69.000000000000014</v>
      </c>
      <c r="R2011" s="2">
        <v>1.2</v>
      </c>
      <c r="S2011" s="2">
        <f t="shared" si="509"/>
        <v>4.45</v>
      </c>
      <c r="T2011" s="2"/>
      <c r="U2011" s="2"/>
      <c r="Y2011" s="8">
        <f t="shared" si="505"/>
        <v>2.4563999999999999</v>
      </c>
    </row>
    <row r="2012" spans="1:25" x14ac:dyDescent="0.25">
      <c r="A2012" s="34">
        <f t="shared" si="510"/>
        <v>1993</v>
      </c>
      <c r="B2012" s="34">
        <f t="shared" si="510"/>
        <v>5</v>
      </c>
      <c r="C2012" s="63" t="s">
        <v>534</v>
      </c>
      <c r="D2012" s="43">
        <v>18</v>
      </c>
      <c r="E2012" s="43"/>
      <c r="F2012" s="65">
        <v>9.1106000000000006E-2</v>
      </c>
      <c r="G2012" s="65">
        <f t="shared" si="506"/>
        <v>1.7947882000000002E-2</v>
      </c>
      <c r="H2012" s="66">
        <v>5.4440000000000002E-2</v>
      </c>
      <c r="I2012" s="66">
        <f t="shared" si="507"/>
        <v>8.1659999999999996E-3</v>
      </c>
      <c r="J2012" s="32">
        <f t="shared" si="508"/>
        <v>0.12112900000000003</v>
      </c>
      <c r="K2012" s="33">
        <f t="shared" si="501"/>
        <v>1.8169350000000004E-2</v>
      </c>
      <c r="L2012" s="33"/>
      <c r="O2012" s="2">
        <f t="shared" si="502"/>
        <v>2.2683333333333337E-2</v>
      </c>
      <c r="P2012" s="2">
        <f t="shared" si="503"/>
        <v>16.332000000000004</v>
      </c>
      <c r="Q2012" s="7">
        <f t="shared" si="504"/>
        <v>73.967391304347842</v>
      </c>
      <c r="R2012" s="2">
        <v>1.2</v>
      </c>
      <c r="S2012" s="2">
        <f t="shared" si="509"/>
        <v>4.45</v>
      </c>
      <c r="T2012" s="2"/>
      <c r="U2012" s="2"/>
      <c r="Y2012" s="8">
        <f t="shared" si="505"/>
        <v>2.6332391304347831</v>
      </c>
    </row>
    <row r="2013" spans="1:25" x14ac:dyDescent="0.25">
      <c r="A2013" s="34">
        <f t="shared" si="510"/>
        <v>1994</v>
      </c>
      <c r="B2013" s="34">
        <f t="shared" si="510"/>
        <v>6</v>
      </c>
      <c r="C2013" s="63" t="s">
        <v>534</v>
      </c>
      <c r="D2013" s="43">
        <v>19</v>
      </c>
      <c r="E2013" s="43">
        <v>1</v>
      </c>
      <c r="F2013" s="67">
        <v>9.8030000000000006E-2</v>
      </c>
      <c r="G2013" s="67">
        <f t="shared" si="506"/>
        <v>1.9311910000000002E-2</v>
      </c>
      <c r="H2013" s="119">
        <v>0.120703</v>
      </c>
      <c r="I2013" s="119">
        <f t="shared" si="507"/>
        <v>1.8105449999999999E-2</v>
      </c>
      <c r="J2013" s="32">
        <f t="shared" si="508"/>
        <v>0.22330055000000001</v>
      </c>
      <c r="K2013" s="33">
        <f t="shared" si="501"/>
        <v>3.3495082500000002E-2</v>
      </c>
      <c r="L2013" s="33"/>
      <c r="O2013" s="2">
        <f t="shared" si="502"/>
        <v>5.0292916666666673E-2</v>
      </c>
      <c r="P2013" s="2">
        <f t="shared" si="503"/>
        <v>36.210900000000002</v>
      </c>
      <c r="Q2013" s="7">
        <f t="shared" si="504"/>
        <v>163.99864130434784</v>
      </c>
      <c r="R2013" s="2">
        <v>1.2</v>
      </c>
      <c r="S2013" s="2">
        <f t="shared" si="509"/>
        <v>3.7</v>
      </c>
      <c r="T2013" s="2"/>
      <c r="U2013" s="2"/>
      <c r="Y2013" s="8">
        <f t="shared" si="505"/>
        <v>4.8543597826086957</v>
      </c>
    </row>
    <row r="2014" spans="1:25" x14ac:dyDescent="0.25">
      <c r="A2014" s="34">
        <f t="shared" si="510"/>
        <v>1995</v>
      </c>
      <c r="B2014" s="34">
        <f t="shared" si="510"/>
        <v>7</v>
      </c>
      <c r="C2014" s="63" t="s">
        <v>534</v>
      </c>
      <c r="D2014" s="43">
        <v>19</v>
      </c>
      <c r="E2014" s="43">
        <v>2</v>
      </c>
      <c r="F2014" s="67">
        <v>9.8030000000000006E-2</v>
      </c>
      <c r="G2014" s="67">
        <f t="shared" si="506"/>
        <v>1.9311910000000002E-2</v>
      </c>
      <c r="H2014" s="119"/>
      <c r="I2014" s="119"/>
      <c r="J2014" s="32">
        <f t="shared" si="508"/>
        <v>0</v>
      </c>
      <c r="K2014" s="33">
        <f t="shared" si="501"/>
        <v>0</v>
      </c>
      <c r="L2014" s="33"/>
      <c r="O2014" s="2">
        <f t="shared" si="502"/>
        <v>0</v>
      </c>
      <c r="P2014" s="2">
        <f t="shared" si="503"/>
        <v>0</v>
      </c>
      <c r="Q2014" s="7">
        <f t="shared" si="504"/>
        <v>0</v>
      </c>
      <c r="R2014" s="2">
        <v>1.2</v>
      </c>
      <c r="S2014" s="2">
        <f t="shared" si="509"/>
        <v>4.45</v>
      </c>
      <c r="T2014" s="2"/>
      <c r="U2014" s="2"/>
      <c r="Y2014" s="8">
        <f t="shared" si="505"/>
        <v>0</v>
      </c>
    </row>
    <row r="2015" spans="1:25" x14ac:dyDescent="0.25">
      <c r="A2015" s="34">
        <f t="shared" si="510"/>
        <v>1996</v>
      </c>
      <c r="B2015" s="34">
        <f t="shared" si="510"/>
        <v>8</v>
      </c>
      <c r="C2015" s="63" t="s">
        <v>534</v>
      </c>
      <c r="D2015" s="43">
        <v>20</v>
      </c>
      <c r="E2015" s="43"/>
      <c r="F2015" s="65">
        <v>8.7809999999999999E-2</v>
      </c>
      <c r="G2015" s="65">
        <f>F2015*0.197</f>
        <v>1.7298569999999999E-2</v>
      </c>
      <c r="H2015" s="66">
        <v>4.5634000000000001E-2</v>
      </c>
      <c r="I2015" s="66">
        <f>H2015*0.15</f>
        <v>6.8450999999999998E-3</v>
      </c>
      <c r="J2015" s="32">
        <f t="shared" si="508"/>
        <v>0.10153565000000001</v>
      </c>
      <c r="K2015" s="33">
        <f t="shared" si="501"/>
        <v>1.52303475E-2</v>
      </c>
      <c r="L2015" s="24" t="s">
        <v>16</v>
      </c>
      <c r="O2015" s="2">
        <f t="shared" si="502"/>
        <v>1.9014166666666669E-2</v>
      </c>
      <c r="P2015" s="2">
        <f t="shared" si="503"/>
        <v>13.690200000000003</v>
      </c>
      <c r="Q2015" s="7">
        <f t="shared" si="504"/>
        <v>62.002717391304358</v>
      </c>
      <c r="R2015" s="2">
        <v>1.2</v>
      </c>
      <c r="S2015" s="2">
        <f t="shared" si="509"/>
        <v>4.45</v>
      </c>
      <c r="T2015" s="2"/>
      <c r="U2015" s="2"/>
      <c r="Y2015" s="8">
        <f t="shared" si="505"/>
        <v>2.207296739130435</v>
      </c>
    </row>
    <row r="2016" spans="1:25" x14ac:dyDescent="0.25">
      <c r="A2016" s="34">
        <f t="shared" si="510"/>
        <v>1997</v>
      </c>
      <c r="B2016" s="34">
        <f t="shared" si="510"/>
        <v>9</v>
      </c>
      <c r="C2016" s="63" t="s">
        <v>534</v>
      </c>
      <c r="D2016" s="43">
        <v>21</v>
      </c>
      <c r="E2016" s="43"/>
      <c r="F2016" s="65">
        <v>0.226101</v>
      </c>
      <c r="G2016" s="65">
        <f t="shared" ref="G2016:G2043" si="511">F2016*0.197</f>
        <v>4.4541897000000004E-2</v>
      </c>
      <c r="H2016" s="66">
        <v>7.2863999999999998E-2</v>
      </c>
      <c r="I2016" s="66">
        <f t="shared" ref="I2016:I2032" si="512">H2016*0.15</f>
        <v>1.0929599999999999E-2</v>
      </c>
      <c r="J2016" s="32">
        <f t="shared" si="508"/>
        <v>0.1621224</v>
      </c>
      <c r="K2016" s="33">
        <f t="shared" si="501"/>
        <v>2.4318360000000001E-2</v>
      </c>
      <c r="L2016" s="33"/>
      <c r="O2016" s="2">
        <f t="shared" si="502"/>
        <v>3.0360000000000002E-2</v>
      </c>
      <c r="P2016" s="2">
        <f t="shared" si="503"/>
        <v>21.859200000000001</v>
      </c>
      <c r="Q2016" s="7">
        <f t="shared" si="504"/>
        <v>99.000000000000014</v>
      </c>
      <c r="R2016" s="2">
        <v>1.2</v>
      </c>
      <c r="S2016" s="2">
        <f t="shared" si="509"/>
        <v>4.45</v>
      </c>
      <c r="T2016" s="2"/>
      <c r="U2016" s="2"/>
      <c r="Y2016" s="8">
        <f t="shared" si="505"/>
        <v>3.5244</v>
      </c>
    </row>
    <row r="2017" spans="1:25" x14ac:dyDescent="0.25">
      <c r="A2017" s="34">
        <f t="shared" si="510"/>
        <v>1998</v>
      </c>
      <c r="B2017" s="34">
        <f t="shared" si="510"/>
        <v>10</v>
      </c>
      <c r="C2017" s="63" t="s">
        <v>534</v>
      </c>
      <c r="D2017" s="43">
        <v>22</v>
      </c>
      <c r="E2017" s="43"/>
      <c r="F2017" s="65">
        <v>0.14490600000000001</v>
      </c>
      <c r="G2017" s="65">
        <f t="shared" si="511"/>
        <v>2.8546482000000001E-2</v>
      </c>
      <c r="H2017" s="66">
        <v>4.6365999999999997E-2</v>
      </c>
      <c r="I2017" s="66">
        <f t="shared" si="512"/>
        <v>6.9548999999999991E-3</v>
      </c>
      <c r="J2017" s="32">
        <f t="shared" si="508"/>
        <v>0.10316435</v>
      </c>
      <c r="K2017" s="33">
        <f t="shared" si="501"/>
        <v>1.54746525E-2</v>
      </c>
      <c r="L2017" s="33"/>
      <c r="O2017" s="2">
        <f t="shared" si="502"/>
        <v>1.9319166666666665E-2</v>
      </c>
      <c r="P2017" s="2">
        <f t="shared" si="503"/>
        <v>13.909799999999999</v>
      </c>
      <c r="Q2017" s="7">
        <f t="shared" si="504"/>
        <v>62.997282608695649</v>
      </c>
      <c r="R2017" s="2">
        <v>1.2</v>
      </c>
      <c r="S2017" s="2">
        <f t="shared" si="509"/>
        <v>4.45</v>
      </c>
      <c r="T2017" s="2"/>
      <c r="U2017" s="2"/>
      <c r="Y2017" s="8">
        <f t="shared" si="505"/>
        <v>2.2427032608695652</v>
      </c>
    </row>
    <row r="2018" spans="1:25" x14ac:dyDescent="0.25">
      <c r="A2018" s="34">
        <f t="shared" si="510"/>
        <v>1999</v>
      </c>
      <c r="B2018" s="34">
        <f t="shared" si="510"/>
        <v>11</v>
      </c>
      <c r="C2018" s="63" t="s">
        <v>534</v>
      </c>
      <c r="D2018" s="43">
        <v>23</v>
      </c>
      <c r="E2018" s="43"/>
      <c r="F2018" s="65">
        <v>0.21685699999999999</v>
      </c>
      <c r="G2018" s="65">
        <f t="shared" si="511"/>
        <v>4.2720829000000002E-2</v>
      </c>
      <c r="H2018" s="66">
        <v>4.3423000000000003E-2</v>
      </c>
      <c r="I2018" s="66">
        <f t="shared" si="512"/>
        <v>6.5134500000000005E-3</v>
      </c>
      <c r="J2018" s="32">
        <f t="shared" si="508"/>
        <v>9.6616175000000026E-2</v>
      </c>
      <c r="K2018" s="33">
        <f t="shared" si="501"/>
        <v>1.4492426250000003E-2</v>
      </c>
      <c r="L2018" s="33"/>
      <c r="O2018" s="2">
        <f t="shared" si="502"/>
        <v>1.809291666666667E-2</v>
      </c>
      <c r="P2018" s="2">
        <f t="shared" si="503"/>
        <v>13.026900000000003</v>
      </c>
      <c r="Q2018" s="7">
        <f t="shared" si="504"/>
        <v>58.998641304347842</v>
      </c>
      <c r="R2018" s="2">
        <v>1.2</v>
      </c>
      <c r="S2018" s="2">
        <f t="shared" si="509"/>
        <v>4.45</v>
      </c>
      <c r="T2018" s="2"/>
      <c r="U2018" s="2"/>
      <c r="Y2018" s="8">
        <f t="shared" si="505"/>
        <v>2.1003516304347833</v>
      </c>
    </row>
    <row r="2019" spans="1:25" x14ac:dyDescent="0.25">
      <c r="A2019" s="34">
        <f t="shared" si="510"/>
        <v>2000</v>
      </c>
      <c r="B2019" s="34">
        <f t="shared" si="510"/>
        <v>12</v>
      </c>
      <c r="C2019" s="63" t="s">
        <v>534</v>
      </c>
      <c r="D2019" s="43">
        <v>8</v>
      </c>
      <c r="E2019" s="43"/>
      <c r="F2019" s="65">
        <v>0.23997199999999999</v>
      </c>
      <c r="G2019" s="65">
        <f t="shared" si="511"/>
        <v>4.7274483999999999E-2</v>
      </c>
      <c r="H2019" s="66">
        <v>0.121502</v>
      </c>
      <c r="I2019" s="66">
        <f t="shared" si="512"/>
        <v>1.82253E-2</v>
      </c>
      <c r="J2019" s="32">
        <f t="shared" si="508"/>
        <v>0.2247787</v>
      </c>
      <c r="K2019" s="33">
        <f t="shared" si="501"/>
        <v>3.3716804999999996E-2</v>
      </c>
      <c r="L2019" s="33"/>
      <c r="O2019" s="2">
        <f t="shared" si="502"/>
        <v>5.0625833333333335E-2</v>
      </c>
      <c r="P2019" s="2">
        <f t="shared" si="503"/>
        <v>36.450600000000001</v>
      </c>
      <c r="Q2019" s="7">
        <f t="shared" si="504"/>
        <v>165.08423913043478</v>
      </c>
      <c r="R2019" s="2">
        <v>1.2</v>
      </c>
      <c r="S2019" s="2">
        <f t="shared" si="509"/>
        <v>3.7</v>
      </c>
      <c r="T2019" s="2"/>
      <c r="U2019" s="2"/>
      <c r="Y2019" s="8">
        <f t="shared" si="505"/>
        <v>4.8864934782608698</v>
      </c>
    </row>
    <row r="2020" spans="1:25" x14ac:dyDescent="0.25">
      <c r="A2020" s="34">
        <f t="shared" si="510"/>
        <v>2001</v>
      </c>
      <c r="B2020" s="34">
        <f t="shared" si="510"/>
        <v>13</v>
      </c>
      <c r="C2020" s="63" t="s">
        <v>534</v>
      </c>
      <c r="D2020" s="43">
        <v>9</v>
      </c>
      <c r="E2020" s="43"/>
      <c r="F2020" s="65">
        <v>0.103834</v>
      </c>
      <c r="G2020" s="65">
        <f t="shared" si="511"/>
        <v>2.0455298E-2</v>
      </c>
      <c r="H2020" s="66">
        <v>5.0047000000000001E-2</v>
      </c>
      <c r="I2020" s="66">
        <f t="shared" si="512"/>
        <v>7.5070499999999995E-3</v>
      </c>
      <c r="J2020" s="32">
        <f t="shared" si="508"/>
        <v>0.11135457500000001</v>
      </c>
      <c r="K2020" s="33">
        <f t="shared" si="501"/>
        <v>1.6703186250000002E-2</v>
      </c>
      <c r="L2020" s="33"/>
      <c r="O2020" s="2">
        <f t="shared" si="502"/>
        <v>2.0852916666666669E-2</v>
      </c>
      <c r="P2020" s="2">
        <f t="shared" si="503"/>
        <v>15.014100000000003</v>
      </c>
      <c r="Q2020" s="7">
        <f t="shared" si="504"/>
        <v>67.998641304347842</v>
      </c>
      <c r="R2020" s="2">
        <v>1.2</v>
      </c>
      <c r="S2020" s="2">
        <f t="shared" si="509"/>
        <v>4.45</v>
      </c>
      <c r="T2020" s="2"/>
      <c r="U2020" s="2"/>
      <c r="Y2020" s="8">
        <f t="shared" si="505"/>
        <v>2.4207516304347831</v>
      </c>
    </row>
    <row r="2021" spans="1:25" x14ac:dyDescent="0.25">
      <c r="A2021" s="34">
        <f t="shared" si="510"/>
        <v>2002</v>
      </c>
      <c r="B2021" s="34">
        <f t="shared" si="510"/>
        <v>14</v>
      </c>
      <c r="C2021" s="52" t="s">
        <v>535</v>
      </c>
      <c r="D2021" s="68">
        <v>1</v>
      </c>
      <c r="E2021" s="68"/>
      <c r="F2021" s="65">
        <v>0.17147799999999999</v>
      </c>
      <c r="G2021" s="65">
        <f t="shared" si="511"/>
        <v>3.3781166000000001E-2</v>
      </c>
      <c r="H2021" s="66">
        <v>8.7582999999999994E-2</v>
      </c>
      <c r="I2021" s="66">
        <f t="shared" si="512"/>
        <v>1.3137449999999998E-2</v>
      </c>
      <c r="J2021" s="32">
        <f t="shared" si="508"/>
        <v>0.19487217500000001</v>
      </c>
      <c r="K2021" s="33">
        <f t="shared" si="501"/>
        <v>2.9230826250000001E-2</v>
      </c>
      <c r="L2021" s="24" t="s">
        <v>16</v>
      </c>
      <c r="O2021" s="2">
        <f t="shared" si="502"/>
        <v>3.6492916666666667E-2</v>
      </c>
      <c r="P2021" s="2">
        <f t="shared" si="503"/>
        <v>26.274899999999999</v>
      </c>
      <c r="Q2021" s="7">
        <f t="shared" si="504"/>
        <v>118.99864130434783</v>
      </c>
      <c r="R2021" s="2">
        <v>1.2</v>
      </c>
      <c r="S2021" s="2">
        <f t="shared" si="509"/>
        <v>4.45</v>
      </c>
      <c r="T2021" s="2"/>
      <c r="U2021" s="2"/>
      <c r="Y2021" s="8">
        <f t="shared" si="505"/>
        <v>4.2363516304347826</v>
      </c>
    </row>
    <row r="2022" spans="1:25" x14ac:dyDescent="0.25">
      <c r="A2022" s="34">
        <f t="shared" si="510"/>
        <v>2003</v>
      </c>
      <c r="B2022" s="34">
        <f t="shared" si="510"/>
        <v>15</v>
      </c>
      <c r="C2022" s="52" t="s">
        <v>535</v>
      </c>
      <c r="D2022" s="68">
        <v>2</v>
      </c>
      <c r="E2022" s="68"/>
      <c r="F2022" s="65">
        <v>0.17147799999999999</v>
      </c>
      <c r="G2022" s="65">
        <f t="shared" si="511"/>
        <v>3.3781166000000001E-2</v>
      </c>
      <c r="H2022" s="66">
        <v>8.9793999999999999E-2</v>
      </c>
      <c r="I2022" s="66">
        <f t="shared" si="512"/>
        <v>1.3469099999999999E-2</v>
      </c>
      <c r="J2022" s="32">
        <f t="shared" si="508"/>
        <v>0.19979165000000002</v>
      </c>
      <c r="K2022" s="33">
        <f t="shared" si="501"/>
        <v>2.99687475E-2</v>
      </c>
      <c r="L2022" s="24" t="s">
        <v>16</v>
      </c>
      <c r="O2022" s="2">
        <f t="shared" si="502"/>
        <v>3.7414166666666665E-2</v>
      </c>
      <c r="P2022" s="2">
        <f t="shared" si="503"/>
        <v>26.938199999999998</v>
      </c>
      <c r="Q2022" s="7">
        <f t="shared" si="504"/>
        <v>122.00271739130434</v>
      </c>
      <c r="R2022" s="2">
        <v>1.2</v>
      </c>
      <c r="S2022" s="2">
        <f t="shared" si="509"/>
        <v>4.45</v>
      </c>
      <c r="T2022" s="2"/>
      <c r="U2022" s="2"/>
      <c r="Y2022" s="8">
        <f t="shared" si="505"/>
        <v>4.3432967391304347</v>
      </c>
    </row>
    <row r="2023" spans="1:25" x14ac:dyDescent="0.25">
      <c r="A2023" s="34">
        <f t="shared" si="510"/>
        <v>2004</v>
      </c>
      <c r="B2023" s="34">
        <f t="shared" si="510"/>
        <v>16</v>
      </c>
      <c r="C2023" s="52" t="s">
        <v>535</v>
      </c>
      <c r="D2023" s="68">
        <v>3</v>
      </c>
      <c r="E2023" s="68"/>
      <c r="F2023" s="65">
        <v>0.17147799999999999</v>
      </c>
      <c r="G2023" s="65">
        <f t="shared" si="511"/>
        <v>3.3781166000000001E-2</v>
      </c>
      <c r="H2023" s="66">
        <v>8.0959000000000003E-2</v>
      </c>
      <c r="I2023" s="66">
        <f t="shared" si="512"/>
        <v>1.2143849999999999E-2</v>
      </c>
      <c r="J2023" s="32">
        <f t="shared" si="508"/>
        <v>0.18013377500000002</v>
      </c>
      <c r="K2023" s="33">
        <f t="shared" si="501"/>
        <v>2.7020066250000002E-2</v>
      </c>
      <c r="L2023" s="24" t="s">
        <v>16</v>
      </c>
      <c r="O2023" s="2">
        <f t="shared" si="502"/>
        <v>3.3732916666666668E-2</v>
      </c>
      <c r="P2023" s="2">
        <f t="shared" si="503"/>
        <v>24.287700000000001</v>
      </c>
      <c r="Q2023" s="7">
        <f t="shared" si="504"/>
        <v>109.99864130434783</v>
      </c>
      <c r="R2023" s="2">
        <v>1.2</v>
      </c>
      <c r="S2023" s="2">
        <f t="shared" si="509"/>
        <v>4.45</v>
      </c>
      <c r="T2023" s="2"/>
      <c r="U2023" s="2"/>
      <c r="Y2023" s="8">
        <f t="shared" si="505"/>
        <v>3.9159516304347832</v>
      </c>
    </row>
    <row r="2024" spans="1:25" x14ac:dyDescent="0.25">
      <c r="A2024" s="34">
        <f t="shared" si="510"/>
        <v>2005</v>
      </c>
      <c r="B2024" s="34">
        <f t="shared" si="510"/>
        <v>17</v>
      </c>
      <c r="C2024" s="52" t="s">
        <v>535</v>
      </c>
      <c r="D2024" s="68">
        <v>4</v>
      </c>
      <c r="E2024" s="68"/>
      <c r="F2024" s="65">
        <v>0.17147799999999999</v>
      </c>
      <c r="G2024" s="65">
        <f t="shared" si="511"/>
        <v>3.3781166000000001E-2</v>
      </c>
      <c r="H2024" s="66">
        <v>7.6543E-2</v>
      </c>
      <c r="I2024" s="66">
        <f t="shared" si="512"/>
        <v>1.1481449999999999E-2</v>
      </c>
      <c r="J2024" s="32">
        <f t="shared" si="508"/>
        <v>0.17030817500000001</v>
      </c>
      <c r="K2024" s="33">
        <f t="shared" si="501"/>
        <v>2.5546226250000002E-2</v>
      </c>
      <c r="L2024" s="24" t="s">
        <v>16</v>
      </c>
      <c r="O2024" s="2">
        <f t="shared" si="502"/>
        <v>3.1892916666666667E-2</v>
      </c>
      <c r="P2024" s="2">
        <f t="shared" si="503"/>
        <v>22.962900000000001</v>
      </c>
      <c r="Q2024" s="7">
        <f t="shared" si="504"/>
        <v>103.99864130434783</v>
      </c>
      <c r="R2024" s="2">
        <v>1.2</v>
      </c>
      <c r="S2024" s="2">
        <f t="shared" si="509"/>
        <v>4.45</v>
      </c>
      <c r="T2024" s="2"/>
      <c r="U2024" s="2"/>
      <c r="Y2024" s="8">
        <f t="shared" si="505"/>
        <v>3.7023516304347828</v>
      </c>
    </row>
    <row r="2025" spans="1:25" x14ac:dyDescent="0.25">
      <c r="A2025" s="34">
        <f t="shared" si="510"/>
        <v>2006</v>
      </c>
      <c r="B2025" s="34">
        <f t="shared" si="510"/>
        <v>18</v>
      </c>
      <c r="C2025" s="52" t="s">
        <v>535</v>
      </c>
      <c r="D2025" s="68">
        <v>5</v>
      </c>
      <c r="E2025" s="68"/>
      <c r="F2025" s="65">
        <v>0.170125</v>
      </c>
      <c r="G2025" s="65">
        <f t="shared" si="511"/>
        <v>3.3514624999999999E-2</v>
      </c>
      <c r="H2025" s="66">
        <v>7.2863999999999998E-2</v>
      </c>
      <c r="I2025" s="66">
        <f t="shared" si="512"/>
        <v>1.0929599999999999E-2</v>
      </c>
      <c r="J2025" s="32">
        <f t="shared" si="508"/>
        <v>0.1621224</v>
      </c>
      <c r="K2025" s="33">
        <f t="shared" si="501"/>
        <v>2.4318360000000001E-2</v>
      </c>
      <c r="L2025" s="24" t="s">
        <v>16</v>
      </c>
      <c r="O2025" s="2">
        <f t="shared" si="502"/>
        <v>3.0360000000000002E-2</v>
      </c>
      <c r="P2025" s="2">
        <f t="shared" si="503"/>
        <v>21.859200000000001</v>
      </c>
      <c r="Q2025" s="7">
        <f t="shared" si="504"/>
        <v>99.000000000000014</v>
      </c>
      <c r="R2025" s="2">
        <v>1.2</v>
      </c>
      <c r="S2025" s="2">
        <f t="shared" si="509"/>
        <v>4.45</v>
      </c>
      <c r="T2025" s="2"/>
      <c r="U2025" s="2"/>
      <c r="Y2025" s="8">
        <f t="shared" si="505"/>
        <v>3.5244</v>
      </c>
    </row>
    <row r="2026" spans="1:25" x14ac:dyDescent="0.25">
      <c r="A2026" s="34">
        <f t="shared" ref="A2026:B2041" si="513">A2025+1</f>
        <v>2007</v>
      </c>
      <c r="B2026" s="34">
        <f t="shared" si="513"/>
        <v>19</v>
      </c>
      <c r="C2026" s="52" t="s">
        <v>535</v>
      </c>
      <c r="D2026" s="68">
        <v>6</v>
      </c>
      <c r="E2026" s="68"/>
      <c r="F2026" s="65">
        <v>0.170125</v>
      </c>
      <c r="G2026" s="65">
        <f t="shared" si="511"/>
        <v>3.3514624999999999E-2</v>
      </c>
      <c r="H2026" s="66">
        <v>9.3473000000000001E-2</v>
      </c>
      <c r="I2026" s="66">
        <f t="shared" si="512"/>
        <v>1.4020949999999999E-2</v>
      </c>
      <c r="J2026" s="32">
        <f t="shared" si="508"/>
        <v>0.20797742500000002</v>
      </c>
      <c r="K2026" s="33">
        <f t="shared" si="501"/>
        <v>3.1196613750000001E-2</v>
      </c>
      <c r="L2026" s="24" t="s">
        <v>16</v>
      </c>
      <c r="O2026" s="2">
        <f t="shared" si="502"/>
        <v>3.8947083333333334E-2</v>
      </c>
      <c r="P2026" s="2">
        <f t="shared" si="503"/>
        <v>28.041900000000002</v>
      </c>
      <c r="Q2026" s="7">
        <f t="shared" si="504"/>
        <v>127.00135869565219</v>
      </c>
      <c r="R2026" s="2">
        <v>1.2</v>
      </c>
      <c r="S2026" s="2">
        <f t="shared" si="509"/>
        <v>4.45</v>
      </c>
      <c r="T2026" s="2"/>
      <c r="U2026" s="2"/>
      <c r="Y2026" s="8">
        <f t="shared" si="505"/>
        <v>4.5212483695652184</v>
      </c>
    </row>
    <row r="2027" spans="1:25" x14ac:dyDescent="0.25">
      <c r="A2027" s="34">
        <f t="shared" si="513"/>
        <v>2008</v>
      </c>
      <c r="B2027" s="34">
        <f t="shared" si="513"/>
        <v>20</v>
      </c>
      <c r="C2027" s="52" t="s">
        <v>535</v>
      </c>
      <c r="D2027" s="68">
        <v>7</v>
      </c>
      <c r="E2027" s="68"/>
      <c r="F2027" s="65">
        <v>0.248145</v>
      </c>
      <c r="G2027" s="65">
        <f t="shared" si="511"/>
        <v>4.8884565000000005E-2</v>
      </c>
      <c r="H2027" s="66">
        <v>0.120384</v>
      </c>
      <c r="I2027" s="66">
        <f t="shared" si="512"/>
        <v>1.80576E-2</v>
      </c>
      <c r="J2027" s="32">
        <f t="shared" si="508"/>
        <v>0.22271040000000003</v>
      </c>
      <c r="K2027" s="33">
        <f t="shared" si="501"/>
        <v>3.3406560000000002E-2</v>
      </c>
      <c r="L2027" s="33"/>
      <c r="O2027" s="2">
        <f t="shared" si="502"/>
        <v>5.0160000000000003E-2</v>
      </c>
      <c r="P2027" s="2">
        <f t="shared" si="503"/>
        <v>36.115200000000002</v>
      </c>
      <c r="Q2027" s="7">
        <f t="shared" si="504"/>
        <v>163.56521739130434</v>
      </c>
      <c r="R2027" s="2">
        <v>1.2</v>
      </c>
      <c r="S2027" s="2">
        <f t="shared" si="509"/>
        <v>3.7</v>
      </c>
      <c r="T2027" s="2"/>
      <c r="U2027" s="2"/>
      <c r="Y2027" s="8">
        <f t="shared" si="505"/>
        <v>4.8415304347826096</v>
      </c>
    </row>
    <row r="2028" spans="1:25" x14ac:dyDescent="0.25">
      <c r="A2028" s="34">
        <f t="shared" si="513"/>
        <v>2009</v>
      </c>
      <c r="B2028" s="34">
        <f t="shared" si="513"/>
        <v>21</v>
      </c>
      <c r="C2028" s="52" t="s">
        <v>535</v>
      </c>
      <c r="D2028" s="43">
        <v>8</v>
      </c>
      <c r="E2028" s="43"/>
      <c r="F2028" s="65">
        <v>0.245002</v>
      </c>
      <c r="G2028" s="65">
        <f t="shared" si="511"/>
        <v>4.8265394000000003E-2</v>
      </c>
      <c r="H2028" s="66">
        <v>0.117024</v>
      </c>
      <c r="I2028" s="66">
        <f t="shared" si="512"/>
        <v>1.7553599999999999E-2</v>
      </c>
      <c r="J2028" s="32">
        <f t="shared" si="508"/>
        <v>0.2164944</v>
      </c>
      <c r="K2028" s="33">
        <f t="shared" si="501"/>
        <v>3.2474160000000002E-2</v>
      </c>
      <c r="L2028" s="33"/>
      <c r="O2028" s="2">
        <f t="shared" si="502"/>
        <v>4.8760000000000005E-2</v>
      </c>
      <c r="P2028" s="2">
        <f t="shared" si="503"/>
        <v>35.107200000000006</v>
      </c>
      <c r="Q2028" s="7">
        <f t="shared" si="504"/>
        <v>159.00000000000003</v>
      </c>
      <c r="R2028" s="2">
        <v>1.2</v>
      </c>
      <c r="S2028" s="2">
        <f t="shared" si="509"/>
        <v>3.7</v>
      </c>
      <c r="T2028" s="2"/>
      <c r="U2028" s="2"/>
      <c r="Y2028" s="8">
        <f t="shared" si="505"/>
        <v>4.7064000000000004</v>
      </c>
    </row>
    <row r="2029" spans="1:25" x14ac:dyDescent="0.25">
      <c r="A2029" s="34">
        <f t="shared" si="513"/>
        <v>2010</v>
      </c>
      <c r="B2029" s="34">
        <f t="shared" si="513"/>
        <v>22</v>
      </c>
      <c r="C2029" s="52" t="s">
        <v>535</v>
      </c>
      <c r="D2029" s="43">
        <v>10</v>
      </c>
      <c r="E2029" s="43"/>
      <c r="F2029" s="65">
        <v>0.51081399999999999</v>
      </c>
      <c r="G2029" s="65">
        <f t="shared" si="511"/>
        <v>0.100630358</v>
      </c>
      <c r="H2029" s="66">
        <v>0.17663999999999999</v>
      </c>
      <c r="I2029" s="66">
        <f t="shared" si="512"/>
        <v>2.6495999999999999E-2</v>
      </c>
      <c r="J2029" s="32">
        <f t="shared" si="508"/>
        <v>0.32678400000000002</v>
      </c>
      <c r="K2029" s="33">
        <f t="shared" si="501"/>
        <v>4.9017600000000001E-2</v>
      </c>
      <c r="L2029" s="33"/>
      <c r="O2029" s="2">
        <f t="shared" si="502"/>
        <v>7.3599999999999999E-2</v>
      </c>
      <c r="P2029" s="2">
        <f t="shared" si="503"/>
        <v>52.991999999999997</v>
      </c>
      <c r="Q2029" s="7">
        <f t="shared" si="504"/>
        <v>240</v>
      </c>
      <c r="R2029" s="2">
        <v>1.2</v>
      </c>
      <c r="S2029" s="2">
        <f t="shared" si="509"/>
        <v>3.7</v>
      </c>
      <c r="T2029" s="2"/>
      <c r="U2029" s="2"/>
      <c r="Y2029" s="8">
        <f t="shared" si="505"/>
        <v>7.1040000000000001</v>
      </c>
    </row>
    <row r="2030" spans="1:25" x14ac:dyDescent="0.25">
      <c r="A2030" s="34">
        <f t="shared" si="513"/>
        <v>2011</v>
      </c>
      <c r="B2030" s="34">
        <f t="shared" si="513"/>
        <v>23</v>
      </c>
      <c r="C2030" s="52" t="s">
        <v>535</v>
      </c>
      <c r="D2030" s="43">
        <v>11</v>
      </c>
      <c r="E2030" s="43"/>
      <c r="F2030" s="65">
        <v>0.49912499999999999</v>
      </c>
      <c r="G2030" s="65">
        <f t="shared" si="511"/>
        <v>9.8327625000000002E-2</v>
      </c>
      <c r="H2030" s="66">
        <v>0.19062200000000001</v>
      </c>
      <c r="I2030" s="66">
        <f t="shared" si="512"/>
        <v>2.8593300000000002E-2</v>
      </c>
      <c r="J2030" s="32">
        <f t="shared" si="508"/>
        <v>0.33835405000000007</v>
      </c>
      <c r="K2030" s="33">
        <f t="shared" si="501"/>
        <v>5.0753107500000012E-2</v>
      </c>
      <c r="L2030" s="33"/>
      <c r="O2030" s="2">
        <f t="shared" si="502"/>
        <v>7.9425833333333348E-2</v>
      </c>
      <c r="P2030" s="2">
        <f t="shared" si="503"/>
        <v>57.186600000000006</v>
      </c>
      <c r="Q2030" s="7">
        <f t="shared" si="504"/>
        <v>258.99728260869568</v>
      </c>
      <c r="R2030" s="2">
        <v>1.2</v>
      </c>
      <c r="S2030" s="2">
        <f t="shared" si="509"/>
        <v>3.55</v>
      </c>
      <c r="T2030" s="2"/>
      <c r="U2030" s="2"/>
      <c r="Y2030" s="8">
        <f t="shared" si="505"/>
        <v>7.3555228260869585</v>
      </c>
    </row>
    <row r="2031" spans="1:25" x14ac:dyDescent="0.25">
      <c r="A2031" s="34">
        <f t="shared" si="513"/>
        <v>2012</v>
      </c>
      <c r="B2031" s="34">
        <f t="shared" si="513"/>
        <v>24</v>
      </c>
      <c r="C2031" s="52" t="s">
        <v>535</v>
      </c>
      <c r="D2031" s="43">
        <v>12</v>
      </c>
      <c r="E2031" s="43"/>
      <c r="F2031" s="65">
        <v>0.49912499999999999</v>
      </c>
      <c r="G2031" s="65">
        <f t="shared" si="511"/>
        <v>9.8327625000000002E-2</v>
      </c>
      <c r="H2031" s="66">
        <v>0.172961</v>
      </c>
      <c r="I2031" s="66">
        <f t="shared" si="512"/>
        <v>2.5944149999999999E-2</v>
      </c>
      <c r="J2031" s="32">
        <f t="shared" si="508"/>
        <v>0.31997785000000001</v>
      </c>
      <c r="K2031" s="33">
        <f t="shared" si="501"/>
        <v>4.7996677500000001E-2</v>
      </c>
      <c r="L2031" s="33"/>
      <c r="O2031" s="2">
        <f t="shared" si="502"/>
        <v>7.2067083333333337E-2</v>
      </c>
      <c r="P2031" s="2">
        <f t="shared" si="503"/>
        <v>51.888300000000001</v>
      </c>
      <c r="Q2031" s="7">
        <f t="shared" si="504"/>
        <v>235.00135869565219</v>
      </c>
      <c r="R2031" s="2">
        <v>1.2</v>
      </c>
      <c r="S2031" s="2">
        <f t="shared" si="509"/>
        <v>3.7</v>
      </c>
      <c r="T2031" s="2"/>
      <c r="U2031" s="2"/>
      <c r="Y2031" s="8">
        <f t="shared" si="505"/>
        <v>6.9560402173913047</v>
      </c>
    </row>
    <row r="2032" spans="1:25" x14ac:dyDescent="0.25">
      <c r="A2032" s="34">
        <f t="shared" si="513"/>
        <v>2013</v>
      </c>
      <c r="B2032" s="34">
        <f t="shared" si="513"/>
        <v>25</v>
      </c>
      <c r="C2032" s="52" t="s">
        <v>535</v>
      </c>
      <c r="D2032" s="43">
        <v>13</v>
      </c>
      <c r="E2032" s="43"/>
      <c r="F2032" s="65">
        <v>0.435415</v>
      </c>
      <c r="G2032" s="65">
        <f t="shared" si="511"/>
        <v>8.5776754999999996E-2</v>
      </c>
      <c r="H2032" s="66">
        <v>0.171487</v>
      </c>
      <c r="I2032" s="66">
        <f t="shared" si="512"/>
        <v>2.5723050000000001E-2</v>
      </c>
      <c r="J2032" s="32">
        <f t="shared" si="508"/>
        <v>0.31725095000000003</v>
      </c>
      <c r="K2032" s="33">
        <f t="shared" si="501"/>
        <v>4.7587642500000006E-2</v>
      </c>
      <c r="L2032" s="33"/>
      <c r="O2032" s="2">
        <f t="shared" si="502"/>
        <v>7.1452916666666672E-2</v>
      </c>
      <c r="P2032" s="2">
        <f t="shared" si="503"/>
        <v>51.446100000000001</v>
      </c>
      <c r="Q2032" s="7">
        <f t="shared" si="504"/>
        <v>232.99864130434784</v>
      </c>
      <c r="R2032" s="2">
        <v>1.2</v>
      </c>
      <c r="S2032" s="2">
        <f t="shared" si="509"/>
        <v>3.7</v>
      </c>
      <c r="T2032" s="2"/>
      <c r="U2032" s="2"/>
      <c r="Y2032" s="8">
        <f t="shared" si="505"/>
        <v>6.8967597826086964</v>
      </c>
    </row>
    <row r="2033" spans="1:25" x14ac:dyDescent="0.25">
      <c r="A2033" s="34">
        <f t="shared" si="513"/>
        <v>2014</v>
      </c>
      <c r="B2033" s="34">
        <f t="shared" si="513"/>
        <v>26</v>
      </c>
      <c r="C2033" s="52" t="s">
        <v>535</v>
      </c>
      <c r="D2033" s="43">
        <v>14</v>
      </c>
      <c r="E2033" s="43">
        <v>1</v>
      </c>
      <c r="F2033" s="69">
        <v>0.112009</v>
      </c>
      <c r="G2033" s="69">
        <f t="shared" si="511"/>
        <v>2.2065773E-2</v>
      </c>
      <c r="H2033" s="119">
        <v>7.8754000000000005E-2</v>
      </c>
      <c r="I2033" s="119">
        <f>H2033*0.15</f>
        <v>1.18131E-2</v>
      </c>
      <c r="J2033" s="32">
        <f t="shared" si="508"/>
        <v>0.17522765000000001</v>
      </c>
      <c r="K2033" s="33">
        <f t="shared" si="501"/>
        <v>2.62841475E-2</v>
      </c>
      <c r="L2033" s="33"/>
      <c r="O2033" s="2">
        <f t="shared" si="502"/>
        <v>3.2814166666666672E-2</v>
      </c>
      <c r="P2033" s="2">
        <f t="shared" si="503"/>
        <v>23.626200000000004</v>
      </c>
      <c r="Q2033" s="7">
        <f t="shared" si="504"/>
        <v>107.00271739130437</v>
      </c>
      <c r="R2033" s="2">
        <v>1.2</v>
      </c>
      <c r="S2033" s="2">
        <f t="shared" si="509"/>
        <v>4.45</v>
      </c>
      <c r="T2033" s="2"/>
      <c r="U2033" s="2"/>
      <c r="Y2033" s="8">
        <f t="shared" si="505"/>
        <v>3.8092967391304349</v>
      </c>
    </row>
    <row r="2034" spans="1:25" x14ac:dyDescent="0.25">
      <c r="A2034" s="34">
        <f t="shared" si="513"/>
        <v>2015</v>
      </c>
      <c r="B2034" s="34">
        <f t="shared" si="513"/>
        <v>27</v>
      </c>
      <c r="C2034" s="52" t="s">
        <v>535</v>
      </c>
      <c r="D2034" s="43">
        <v>14</v>
      </c>
      <c r="E2034" s="43">
        <v>2</v>
      </c>
      <c r="F2034" s="69">
        <v>0.112009</v>
      </c>
      <c r="G2034" s="69">
        <f t="shared" si="511"/>
        <v>2.2065773E-2</v>
      </c>
      <c r="H2034" s="119"/>
      <c r="I2034" s="119"/>
      <c r="J2034" s="32">
        <f t="shared" si="508"/>
        <v>0</v>
      </c>
      <c r="K2034" s="33">
        <f t="shared" si="501"/>
        <v>0</v>
      </c>
      <c r="L2034" s="33"/>
      <c r="O2034" s="2">
        <f t="shared" si="502"/>
        <v>0</v>
      </c>
      <c r="P2034" s="2">
        <f t="shared" si="503"/>
        <v>0</v>
      </c>
      <c r="Q2034" s="7">
        <f t="shared" si="504"/>
        <v>0</v>
      </c>
      <c r="R2034" s="2">
        <v>1.2</v>
      </c>
      <c r="S2034" s="2">
        <f t="shared" si="509"/>
        <v>4.45</v>
      </c>
      <c r="T2034" s="2"/>
      <c r="U2034" s="2"/>
      <c r="Y2034" s="8">
        <f t="shared" si="505"/>
        <v>0</v>
      </c>
    </row>
    <row r="2035" spans="1:25" x14ac:dyDescent="0.25">
      <c r="A2035" s="34">
        <f t="shared" si="513"/>
        <v>2016</v>
      </c>
      <c r="B2035" s="34">
        <f t="shared" si="513"/>
        <v>28</v>
      </c>
      <c r="C2035" s="52" t="s">
        <v>535</v>
      </c>
      <c r="D2035" s="43">
        <v>15</v>
      </c>
      <c r="E2035" s="43"/>
      <c r="F2035" s="65">
        <v>0.22401799999999999</v>
      </c>
      <c r="G2035" s="65">
        <f t="shared" si="511"/>
        <v>4.4131546000000001E-2</v>
      </c>
      <c r="H2035" s="66">
        <v>9.2735999999999999E-2</v>
      </c>
      <c r="I2035" s="66">
        <f>H2035*0.15</f>
        <v>1.39104E-2</v>
      </c>
      <c r="J2035" s="32">
        <f t="shared" si="508"/>
        <v>0.20633760000000001</v>
      </c>
      <c r="K2035" s="33">
        <f t="shared" si="501"/>
        <v>3.0950640000000001E-2</v>
      </c>
      <c r="L2035" s="33"/>
      <c r="O2035" s="2">
        <f t="shared" si="502"/>
        <v>3.8640000000000001E-2</v>
      </c>
      <c r="P2035" s="2">
        <f t="shared" si="503"/>
        <v>27.820799999999998</v>
      </c>
      <c r="Q2035" s="7">
        <f t="shared" si="504"/>
        <v>126</v>
      </c>
      <c r="R2035" s="2">
        <v>1.2</v>
      </c>
      <c r="S2035" s="2">
        <f t="shared" si="509"/>
        <v>4.45</v>
      </c>
      <c r="T2035" s="2"/>
      <c r="U2035" s="2"/>
      <c r="Y2035" s="8">
        <f t="shared" si="505"/>
        <v>4.4855999999999998</v>
      </c>
    </row>
    <row r="2036" spans="1:25" x14ac:dyDescent="0.25">
      <c r="A2036" s="34">
        <f t="shared" si="513"/>
        <v>2017</v>
      </c>
      <c r="B2036" s="34">
        <f t="shared" si="513"/>
        <v>29</v>
      </c>
      <c r="C2036" s="52" t="s">
        <v>535</v>
      </c>
      <c r="D2036" s="43">
        <v>16</v>
      </c>
      <c r="E2036" s="43"/>
      <c r="F2036" s="65">
        <v>0.22401799999999999</v>
      </c>
      <c r="G2036" s="65">
        <f t="shared" si="511"/>
        <v>4.4131546000000001E-2</v>
      </c>
      <c r="H2036" s="66">
        <v>8.2433000000000006E-2</v>
      </c>
      <c r="I2036" s="66">
        <f>H2036*0.15</f>
        <v>1.2364950000000001E-2</v>
      </c>
      <c r="J2036" s="32">
        <f t="shared" si="508"/>
        <v>0.18341342500000005</v>
      </c>
      <c r="K2036" s="33">
        <f t="shared" si="501"/>
        <v>2.7512013750000005E-2</v>
      </c>
      <c r="L2036" s="33"/>
      <c r="O2036" s="2">
        <f t="shared" si="502"/>
        <v>3.4347083333333341E-2</v>
      </c>
      <c r="P2036" s="2">
        <f t="shared" si="503"/>
        <v>24.729900000000008</v>
      </c>
      <c r="Q2036" s="7">
        <f t="shared" si="504"/>
        <v>112.00135869565221</v>
      </c>
      <c r="R2036" s="2">
        <v>1.2</v>
      </c>
      <c r="S2036" s="2">
        <f t="shared" si="509"/>
        <v>4.45</v>
      </c>
      <c r="T2036" s="2"/>
      <c r="U2036" s="2"/>
      <c r="Y2036" s="8">
        <f t="shared" si="505"/>
        <v>3.9872483695652186</v>
      </c>
    </row>
    <row r="2037" spans="1:25" x14ac:dyDescent="0.25">
      <c r="A2037" s="34">
        <f t="shared" si="513"/>
        <v>2018</v>
      </c>
      <c r="B2037" s="34">
        <f t="shared" si="513"/>
        <v>30</v>
      </c>
      <c r="C2037" s="42" t="s">
        <v>536</v>
      </c>
      <c r="D2037" s="43" t="s">
        <v>473</v>
      </c>
      <c r="E2037" s="43"/>
      <c r="F2037" s="65">
        <v>0.19003</v>
      </c>
      <c r="G2037" s="65">
        <f t="shared" si="511"/>
        <v>3.7435910000000003E-2</v>
      </c>
      <c r="H2037" s="66">
        <v>0.133217</v>
      </c>
      <c r="I2037" s="66">
        <f>H2037*0.15</f>
        <v>1.9982549999999998E-2</v>
      </c>
      <c r="J2037" s="32">
        <f t="shared" si="508"/>
        <v>0.24645145000000002</v>
      </c>
      <c r="K2037" s="33">
        <f t="shared" si="501"/>
        <v>3.6967717500000004E-2</v>
      </c>
      <c r="L2037" s="33"/>
      <c r="O2037" s="2">
        <f t="shared" si="502"/>
        <v>5.5507083333333339E-2</v>
      </c>
      <c r="P2037" s="2">
        <f t="shared" si="503"/>
        <v>39.9651</v>
      </c>
      <c r="Q2037" s="7">
        <f t="shared" si="504"/>
        <v>181.00135869565219</v>
      </c>
      <c r="R2037" s="2">
        <v>1.2</v>
      </c>
      <c r="S2037" s="2">
        <f t="shared" si="509"/>
        <v>3.7</v>
      </c>
      <c r="T2037" s="2"/>
      <c r="U2037" s="2"/>
      <c r="Y2037" s="8">
        <f t="shared" si="505"/>
        <v>5.3576402173913049</v>
      </c>
    </row>
    <row r="2038" spans="1:25" x14ac:dyDescent="0.25">
      <c r="A2038" s="34">
        <f t="shared" si="513"/>
        <v>2019</v>
      </c>
      <c r="B2038" s="34">
        <f t="shared" si="513"/>
        <v>31</v>
      </c>
      <c r="C2038" s="42" t="s">
        <v>537</v>
      </c>
      <c r="D2038" s="44" t="s">
        <v>89</v>
      </c>
      <c r="E2038" s="43"/>
      <c r="F2038" s="65">
        <v>0.153391</v>
      </c>
      <c r="G2038" s="65">
        <f t="shared" si="511"/>
        <v>3.0218027000000001E-2</v>
      </c>
      <c r="H2038" s="66">
        <v>0.16780600000000001</v>
      </c>
      <c r="I2038" s="66">
        <f>H2038*0.15</f>
        <v>2.51709E-2</v>
      </c>
      <c r="J2038" s="32">
        <f t="shared" si="508"/>
        <v>0.31044110000000003</v>
      </c>
      <c r="K2038" s="33">
        <f t="shared" si="501"/>
        <v>4.6566165E-2</v>
      </c>
      <c r="L2038" s="33"/>
      <c r="O2038" s="2">
        <f t="shared" si="502"/>
        <v>6.9919166666666671E-2</v>
      </c>
      <c r="P2038" s="2">
        <f t="shared" si="503"/>
        <v>50.341800000000006</v>
      </c>
      <c r="Q2038" s="7">
        <f t="shared" si="504"/>
        <v>227.99728260869568</v>
      </c>
      <c r="R2038" s="2">
        <v>1.2</v>
      </c>
      <c r="S2038" s="2">
        <f t="shared" si="509"/>
        <v>3.7</v>
      </c>
      <c r="T2038" s="2"/>
      <c r="U2038" s="2"/>
      <c r="Y2038" s="8">
        <f t="shared" si="505"/>
        <v>6.7487195652173924</v>
      </c>
    </row>
    <row r="2039" spans="1:25" x14ac:dyDescent="0.25">
      <c r="A2039" s="34">
        <f t="shared" si="513"/>
        <v>2020</v>
      </c>
      <c r="B2039" s="34">
        <f t="shared" si="513"/>
        <v>32</v>
      </c>
      <c r="C2039" s="42" t="s">
        <v>538</v>
      </c>
      <c r="D2039" s="43" t="s">
        <v>539</v>
      </c>
      <c r="E2039" s="43">
        <v>1</v>
      </c>
      <c r="F2039" s="67">
        <v>0.100869</v>
      </c>
      <c r="G2039" s="67">
        <f t="shared" si="511"/>
        <v>1.9871193000000002E-2</v>
      </c>
      <c r="H2039" s="119">
        <v>4.8576000000000001E-2</v>
      </c>
      <c r="I2039" s="119">
        <f>H2039*0.15</f>
        <v>7.2864000000000002E-3</v>
      </c>
      <c r="J2039" s="32">
        <f t="shared" si="508"/>
        <v>0.1080816</v>
      </c>
      <c r="K2039" s="33">
        <f t="shared" si="501"/>
        <v>1.6212239999999999E-2</v>
      </c>
      <c r="L2039" s="33"/>
      <c r="O2039" s="2">
        <f t="shared" si="502"/>
        <v>2.0240000000000001E-2</v>
      </c>
      <c r="P2039" s="2">
        <f t="shared" si="503"/>
        <v>14.572800000000001</v>
      </c>
      <c r="Q2039" s="7">
        <f t="shared" si="504"/>
        <v>66</v>
      </c>
      <c r="R2039" s="2">
        <v>1.2</v>
      </c>
      <c r="S2039" s="2">
        <f t="shared" si="509"/>
        <v>4.45</v>
      </c>
      <c r="T2039" s="2"/>
      <c r="U2039" s="2"/>
      <c r="Y2039" s="8">
        <f t="shared" si="505"/>
        <v>2.3495999999999997</v>
      </c>
    </row>
    <row r="2040" spans="1:25" x14ac:dyDescent="0.25">
      <c r="A2040" s="34">
        <f t="shared" si="513"/>
        <v>2021</v>
      </c>
      <c r="B2040" s="34">
        <f t="shared" si="513"/>
        <v>33</v>
      </c>
      <c r="C2040" s="42" t="s">
        <v>538</v>
      </c>
      <c r="D2040" s="43" t="s">
        <v>539</v>
      </c>
      <c r="E2040" s="43">
        <v>2</v>
      </c>
      <c r="F2040" s="67">
        <v>0.100869</v>
      </c>
      <c r="G2040" s="67">
        <f t="shared" si="511"/>
        <v>1.9871193000000002E-2</v>
      </c>
      <c r="H2040" s="119"/>
      <c r="I2040" s="119"/>
      <c r="J2040" s="32">
        <f t="shared" si="508"/>
        <v>0</v>
      </c>
      <c r="K2040" s="33">
        <f t="shared" si="501"/>
        <v>0</v>
      </c>
      <c r="L2040" s="33"/>
      <c r="O2040" s="2">
        <f t="shared" si="502"/>
        <v>0</v>
      </c>
      <c r="P2040" s="2">
        <f t="shared" si="503"/>
        <v>0</v>
      </c>
      <c r="Q2040" s="7">
        <f t="shared" si="504"/>
        <v>0</v>
      </c>
      <c r="R2040" s="2">
        <v>1.2</v>
      </c>
      <c r="S2040" s="2">
        <f t="shared" si="509"/>
        <v>4.45</v>
      </c>
      <c r="T2040" s="2"/>
      <c r="U2040" s="2"/>
      <c r="Y2040" s="8">
        <f t="shared" si="505"/>
        <v>0</v>
      </c>
    </row>
    <row r="2041" spans="1:25" x14ac:dyDescent="0.25">
      <c r="A2041" s="34">
        <f t="shared" si="513"/>
        <v>2022</v>
      </c>
      <c r="B2041" s="34">
        <f t="shared" si="513"/>
        <v>34</v>
      </c>
      <c r="C2041" s="42" t="s">
        <v>540</v>
      </c>
      <c r="D2041" s="43">
        <v>16</v>
      </c>
      <c r="E2041" s="43"/>
      <c r="F2041" s="65">
        <v>0.19869899999999999</v>
      </c>
      <c r="G2041" s="65">
        <f t="shared" si="511"/>
        <v>3.9143703000000002E-2</v>
      </c>
      <c r="H2041" s="66">
        <v>5.3726000000000003E-2</v>
      </c>
      <c r="I2041" s="66">
        <f>H2041*0.15</f>
        <v>8.0589000000000008E-3</v>
      </c>
      <c r="J2041" s="32">
        <f t="shared" si="508"/>
        <v>0.11954035000000002</v>
      </c>
      <c r="K2041" s="33">
        <f t="shared" si="501"/>
        <v>1.7931052500000003E-2</v>
      </c>
      <c r="L2041" s="33"/>
      <c r="O2041" s="2">
        <f t="shared" si="502"/>
        <v>2.2385833333333334E-2</v>
      </c>
      <c r="P2041" s="2">
        <f t="shared" si="503"/>
        <v>16.117800000000003</v>
      </c>
      <c r="Q2041" s="7">
        <f t="shared" si="504"/>
        <v>72.99728260869567</v>
      </c>
      <c r="R2041" s="2">
        <v>1.2</v>
      </c>
      <c r="S2041" s="2">
        <f t="shared" si="509"/>
        <v>4.45</v>
      </c>
      <c r="T2041" s="2"/>
      <c r="U2041" s="2"/>
      <c r="Y2041" s="8">
        <f t="shared" si="505"/>
        <v>2.5987032608695655</v>
      </c>
    </row>
    <row r="2042" spans="1:25" x14ac:dyDescent="0.25">
      <c r="A2042" s="34">
        <f t="shared" ref="A2042:B2057" si="514">A2041+1</f>
        <v>2023</v>
      </c>
      <c r="B2042" s="34">
        <f t="shared" si="514"/>
        <v>35</v>
      </c>
      <c r="C2042" s="42" t="s">
        <v>541</v>
      </c>
      <c r="D2042" s="43">
        <v>149</v>
      </c>
      <c r="E2042" s="43">
        <v>1</v>
      </c>
      <c r="F2042" s="69">
        <v>7.4318499999999996E-2</v>
      </c>
      <c r="G2042" s="69">
        <f t="shared" si="511"/>
        <v>1.46407445E-2</v>
      </c>
      <c r="H2042" s="119">
        <v>6.7713999999999996E-2</v>
      </c>
      <c r="I2042" s="119">
        <f>H2042*0.15</f>
        <v>1.0157099999999999E-2</v>
      </c>
      <c r="J2042" s="32">
        <f t="shared" si="508"/>
        <v>0.15066365000000001</v>
      </c>
      <c r="K2042" s="33">
        <f t="shared" si="501"/>
        <v>2.2599547500000001E-2</v>
      </c>
      <c r="L2042" s="33"/>
      <c r="O2042" s="2">
        <f t="shared" si="502"/>
        <v>2.8214166666666665E-2</v>
      </c>
      <c r="P2042" s="2">
        <f t="shared" si="503"/>
        <v>20.3142</v>
      </c>
      <c r="Q2042" s="7">
        <f t="shared" si="504"/>
        <v>92.002717391304344</v>
      </c>
      <c r="R2042" s="2">
        <v>1.2</v>
      </c>
      <c r="S2042" s="2">
        <f t="shared" si="509"/>
        <v>4.45</v>
      </c>
      <c r="T2042" s="2"/>
      <c r="U2042" s="2"/>
      <c r="Y2042" s="8">
        <f t="shared" si="505"/>
        <v>3.2752967391304346</v>
      </c>
    </row>
    <row r="2043" spans="1:25" x14ac:dyDescent="0.25">
      <c r="A2043" s="34">
        <f t="shared" si="514"/>
        <v>2024</v>
      </c>
      <c r="B2043" s="34">
        <f t="shared" si="514"/>
        <v>36</v>
      </c>
      <c r="C2043" s="42" t="s">
        <v>541</v>
      </c>
      <c r="D2043" s="43">
        <v>149</v>
      </c>
      <c r="E2043" s="43">
        <v>2</v>
      </c>
      <c r="F2043" s="69">
        <v>7.4318499999999996E-2</v>
      </c>
      <c r="G2043" s="69">
        <f t="shared" si="511"/>
        <v>1.46407445E-2</v>
      </c>
      <c r="H2043" s="119"/>
      <c r="I2043" s="119"/>
      <c r="J2043" s="32">
        <f t="shared" si="508"/>
        <v>0</v>
      </c>
      <c r="K2043" s="33">
        <f t="shared" si="501"/>
        <v>0</v>
      </c>
      <c r="L2043" s="33"/>
      <c r="O2043" s="2">
        <f t="shared" si="502"/>
        <v>0</v>
      </c>
      <c r="P2043" s="2">
        <f t="shared" si="503"/>
        <v>0</v>
      </c>
      <c r="Q2043" s="7">
        <f t="shared" si="504"/>
        <v>0</v>
      </c>
      <c r="R2043" s="2">
        <v>1.2</v>
      </c>
      <c r="S2043" s="2">
        <f t="shared" si="509"/>
        <v>4.45</v>
      </c>
      <c r="T2043" s="2"/>
      <c r="U2043" s="2"/>
      <c r="Y2043" s="8">
        <f t="shared" si="505"/>
        <v>0</v>
      </c>
    </row>
    <row r="2044" spans="1:25" x14ac:dyDescent="0.25">
      <c r="A2044" s="34">
        <f t="shared" si="514"/>
        <v>2025</v>
      </c>
      <c r="B2044" s="34">
        <f t="shared" si="514"/>
        <v>37</v>
      </c>
      <c r="C2044" s="42" t="s">
        <v>542</v>
      </c>
      <c r="D2044" s="43">
        <v>97</v>
      </c>
      <c r="E2044" s="43">
        <v>1</v>
      </c>
      <c r="F2044" s="69">
        <v>0.1537955</v>
      </c>
      <c r="G2044" s="69">
        <f>0.197</f>
        <v>0.19700000000000001</v>
      </c>
      <c r="H2044" s="119">
        <v>0.15603400000000001</v>
      </c>
      <c r="I2044" s="119">
        <f>H2044*0.15</f>
        <v>2.3405100000000002E-2</v>
      </c>
      <c r="J2044" s="32">
        <f t="shared" si="508"/>
        <v>0.28866290000000006</v>
      </c>
      <c r="K2044" s="33">
        <f t="shared" si="501"/>
        <v>4.3299435000000004E-2</v>
      </c>
      <c r="L2044" s="33"/>
      <c r="O2044" s="2">
        <f t="shared" si="502"/>
        <v>6.5014166666666678E-2</v>
      </c>
      <c r="P2044" s="2">
        <f t="shared" si="503"/>
        <v>46.810200000000009</v>
      </c>
      <c r="Q2044" s="7">
        <f t="shared" si="504"/>
        <v>212.0027173913044</v>
      </c>
      <c r="R2044" s="2">
        <v>1.2</v>
      </c>
      <c r="S2044" s="2">
        <f t="shared" si="509"/>
        <v>3.7</v>
      </c>
      <c r="T2044" s="2"/>
      <c r="U2044" s="2"/>
      <c r="Y2044" s="8">
        <f t="shared" si="505"/>
        <v>6.2752804347826094</v>
      </c>
    </row>
    <row r="2045" spans="1:25" x14ac:dyDescent="0.25">
      <c r="A2045" s="34">
        <f t="shared" si="514"/>
        <v>2026</v>
      </c>
      <c r="B2045" s="34">
        <f t="shared" si="514"/>
        <v>38</v>
      </c>
      <c r="C2045" s="42" t="s">
        <v>542</v>
      </c>
      <c r="D2045" s="43">
        <v>97</v>
      </c>
      <c r="E2045" s="43">
        <v>2</v>
      </c>
      <c r="F2045" s="69">
        <v>0.1537955</v>
      </c>
      <c r="G2045" s="69">
        <f>0.197</f>
        <v>0.19700000000000001</v>
      </c>
      <c r="H2045" s="119"/>
      <c r="I2045" s="119"/>
      <c r="J2045" s="32">
        <f t="shared" si="508"/>
        <v>0</v>
      </c>
      <c r="K2045" s="33">
        <f t="shared" si="501"/>
        <v>0</v>
      </c>
      <c r="L2045" s="33"/>
      <c r="O2045" s="2">
        <f t="shared" si="502"/>
        <v>0</v>
      </c>
      <c r="P2045" s="2">
        <f t="shared" si="503"/>
        <v>0</v>
      </c>
      <c r="Q2045" s="7">
        <f t="shared" si="504"/>
        <v>0</v>
      </c>
      <c r="R2045" s="2">
        <v>1.2</v>
      </c>
      <c r="S2045" s="2">
        <f t="shared" si="509"/>
        <v>4.45</v>
      </c>
      <c r="T2045" s="2"/>
      <c r="U2045" s="2"/>
      <c r="Y2045" s="8">
        <f t="shared" si="505"/>
        <v>0</v>
      </c>
    </row>
    <row r="2046" spans="1:25" x14ac:dyDescent="0.25">
      <c r="A2046" s="34">
        <f t="shared" si="514"/>
        <v>2027</v>
      </c>
      <c r="B2046" s="34">
        <f t="shared" si="514"/>
        <v>39</v>
      </c>
      <c r="C2046" s="42" t="s">
        <v>543</v>
      </c>
      <c r="D2046" s="43">
        <v>29</v>
      </c>
      <c r="E2046" s="43"/>
      <c r="F2046" s="65">
        <v>0.136491</v>
      </c>
      <c r="G2046" s="65">
        <f>F2046*0.197</f>
        <v>2.6888727000000001E-2</v>
      </c>
      <c r="H2046" s="66">
        <v>5.4462999999999998E-2</v>
      </c>
      <c r="I2046" s="66">
        <f>H2046*0.15</f>
        <v>8.16945E-3</v>
      </c>
      <c r="J2046" s="32">
        <f t="shared" si="508"/>
        <v>0.121180175</v>
      </c>
      <c r="K2046" s="33">
        <f t="shared" si="501"/>
        <v>1.8177026249999999E-2</v>
      </c>
      <c r="L2046" s="33"/>
      <c r="O2046" s="2">
        <f t="shared" si="502"/>
        <v>2.2692916666666667E-2</v>
      </c>
      <c r="P2046" s="2">
        <f t="shared" si="503"/>
        <v>16.338899999999999</v>
      </c>
      <c r="Q2046" s="7">
        <f t="shared" si="504"/>
        <v>73.998641304347828</v>
      </c>
      <c r="R2046" s="2">
        <v>1.2</v>
      </c>
      <c r="S2046" s="2">
        <f t="shared" si="509"/>
        <v>4.45</v>
      </c>
      <c r="T2046" s="2"/>
      <c r="U2046" s="2"/>
      <c r="Y2046" s="8">
        <f t="shared" si="505"/>
        <v>2.6343516304347827</v>
      </c>
    </row>
    <row r="2047" spans="1:25" x14ac:dyDescent="0.25">
      <c r="A2047" s="34">
        <f t="shared" si="514"/>
        <v>2028</v>
      </c>
      <c r="B2047" s="34">
        <f t="shared" si="514"/>
        <v>40</v>
      </c>
      <c r="C2047" s="42" t="s">
        <v>544</v>
      </c>
      <c r="D2047" s="43" t="s">
        <v>424</v>
      </c>
      <c r="E2047" s="43"/>
      <c r="F2047" s="65">
        <v>5.4771E-2</v>
      </c>
      <c r="G2047" s="65">
        <f t="shared" ref="G2047:G2078" si="515">F2047*0.197</f>
        <v>1.0789887E-2</v>
      </c>
      <c r="H2047" s="66">
        <v>1.6927000000000001E-2</v>
      </c>
      <c r="I2047" s="66">
        <f>H2047*0.15</f>
        <v>2.5390500000000002E-3</v>
      </c>
      <c r="J2047" s="32">
        <f t="shared" si="508"/>
        <v>3.7662575000000004E-2</v>
      </c>
      <c r="K2047" s="33">
        <f t="shared" si="501"/>
        <v>5.64938625E-3</v>
      </c>
      <c r="L2047" s="33"/>
      <c r="O2047" s="2">
        <f t="shared" si="502"/>
        <v>7.0529166666666674E-3</v>
      </c>
      <c r="P2047" s="2">
        <f t="shared" si="503"/>
        <v>5.0781000000000009</v>
      </c>
      <c r="Q2047" s="7">
        <f t="shared" si="504"/>
        <v>22.998641304347831</v>
      </c>
      <c r="R2047" s="2">
        <v>1.2</v>
      </c>
      <c r="S2047" s="2">
        <f t="shared" si="509"/>
        <v>4.45</v>
      </c>
      <c r="T2047" s="2"/>
      <c r="U2047" s="2"/>
      <c r="Y2047" s="8">
        <f t="shared" si="505"/>
        <v>0.81875163043478261</v>
      </c>
    </row>
    <row r="2048" spans="1:25" x14ac:dyDescent="0.25">
      <c r="A2048" s="34">
        <f t="shared" si="514"/>
        <v>2029</v>
      </c>
      <c r="B2048" s="34">
        <f t="shared" si="514"/>
        <v>41</v>
      </c>
      <c r="C2048" s="42" t="s">
        <v>543</v>
      </c>
      <c r="D2048" s="43">
        <v>84</v>
      </c>
      <c r="E2048" s="43"/>
      <c r="F2048" s="65">
        <v>1.3469999999999999E-2</v>
      </c>
      <c r="G2048" s="65">
        <f t="shared" si="515"/>
        <v>2.6535899999999999E-3</v>
      </c>
      <c r="H2048" s="66">
        <v>4.4159999999999998E-3</v>
      </c>
      <c r="I2048" s="66">
        <f>H2048*0.15</f>
        <v>6.6239999999999995E-4</v>
      </c>
      <c r="J2048" s="32">
        <f t="shared" si="508"/>
        <v>9.8256000000000003E-3</v>
      </c>
      <c r="K2048" s="33">
        <f t="shared" si="501"/>
        <v>1.4738399999999999E-3</v>
      </c>
      <c r="L2048" s="33"/>
      <c r="O2048" s="2">
        <f t="shared" si="502"/>
        <v>1.8400000000000001E-3</v>
      </c>
      <c r="P2048" s="2">
        <f t="shared" si="503"/>
        <v>1.3248000000000002</v>
      </c>
      <c r="Q2048" s="7">
        <f t="shared" si="504"/>
        <v>6.0000000000000009</v>
      </c>
      <c r="R2048" s="2">
        <v>1.2</v>
      </c>
      <c r="S2048" s="2">
        <f t="shared" si="509"/>
        <v>4.45</v>
      </c>
      <c r="T2048" s="2"/>
      <c r="U2048" s="2"/>
      <c r="Y2048" s="8">
        <f t="shared" si="505"/>
        <v>0.21360000000000001</v>
      </c>
    </row>
    <row r="2049" spans="1:25" x14ac:dyDescent="0.25">
      <c r="A2049" s="34">
        <f t="shared" si="514"/>
        <v>2030</v>
      </c>
      <c r="B2049" s="34">
        <f t="shared" si="514"/>
        <v>42</v>
      </c>
      <c r="C2049" s="42" t="s">
        <v>545</v>
      </c>
      <c r="D2049" s="43">
        <v>39</v>
      </c>
      <c r="E2049" s="43"/>
      <c r="F2049" s="65">
        <v>4.3500999999999998E-2</v>
      </c>
      <c r="G2049" s="65">
        <f t="shared" si="515"/>
        <v>8.5696969999999994E-3</v>
      </c>
      <c r="H2049" s="66">
        <v>9.5659999999999999E-3</v>
      </c>
      <c r="I2049" s="66">
        <f>H2049*0.15</f>
        <v>1.4349E-3</v>
      </c>
      <c r="J2049" s="32">
        <f t="shared" si="508"/>
        <v>2.128435E-2</v>
      </c>
      <c r="K2049" s="33">
        <f t="shared" si="501"/>
        <v>3.1926525E-3</v>
      </c>
      <c r="L2049" s="33"/>
      <c r="O2049" s="2">
        <f t="shared" si="502"/>
        <v>3.9858333333333334E-3</v>
      </c>
      <c r="P2049" s="2">
        <f t="shared" si="503"/>
        <v>2.8697999999999997</v>
      </c>
      <c r="Q2049" s="7">
        <f t="shared" si="504"/>
        <v>12.997282608695651</v>
      </c>
      <c r="R2049" s="2">
        <v>1.2</v>
      </c>
      <c r="S2049" s="2">
        <f t="shared" si="509"/>
        <v>4.45</v>
      </c>
      <c r="T2049" s="2"/>
      <c r="U2049" s="2"/>
      <c r="Y2049" s="8">
        <f t="shared" si="505"/>
        <v>0.4627032608695652</v>
      </c>
    </row>
    <row r="2050" spans="1:25" x14ac:dyDescent="0.25">
      <c r="A2050" s="34">
        <f t="shared" si="514"/>
        <v>2031</v>
      </c>
      <c r="B2050" s="34">
        <f t="shared" si="514"/>
        <v>43</v>
      </c>
      <c r="C2050" s="42" t="s">
        <v>545</v>
      </c>
      <c r="D2050" s="43">
        <v>49</v>
      </c>
      <c r="E2050" s="43"/>
      <c r="F2050" s="65">
        <v>0.106305</v>
      </c>
      <c r="G2050" s="65">
        <f t="shared" si="515"/>
        <v>2.0942084999999999E-2</v>
      </c>
      <c r="H2050" s="66">
        <v>0</v>
      </c>
      <c r="I2050" s="66">
        <v>0</v>
      </c>
      <c r="J2050" s="32">
        <f t="shared" si="508"/>
        <v>0</v>
      </c>
      <c r="K2050" s="33">
        <f t="shared" si="501"/>
        <v>0</v>
      </c>
      <c r="L2050" s="33"/>
      <c r="O2050" s="2">
        <f t="shared" si="502"/>
        <v>0</v>
      </c>
      <c r="P2050" s="2">
        <f t="shared" si="503"/>
        <v>0</v>
      </c>
      <c r="Q2050" s="7">
        <f t="shared" si="504"/>
        <v>0</v>
      </c>
      <c r="R2050" s="2">
        <v>1.2</v>
      </c>
      <c r="S2050" s="2">
        <f t="shared" si="509"/>
        <v>4.45</v>
      </c>
      <c r="T2050" s="2"/>
      <c r="U2050" s="2"/>
      <c r="Y2050" s="8">
        <f t="shared" si="505"/>
        <v>0</v>
      </c>
    </row>
    <row r="2051" spans="1:25" x14ac:dyDescent="0.25">
      <c r="A2051" s="34">
        <f t="shared" si="514"/>
        <v>2032</v>
      </c>
      <c r="B2051" s="34">
        <f t="shared" si="514"/>
        <v>44</v>
      </c>
      <c r="C2051" s="42" t="s">
        <v>545</v>
      </c>
      <c r="D2051" s="43">
        <v>51</v>
      </c>
      <c r="E2051" s="43"/>
      <c r="F2051" s="65">
        <v>0.10595400000000001</v>
      </c>
      <c r="G2051" s="65">
        <f t="shared" si="515"/>
        <v>2.0872938000000001E-2</v>
      </c>
      <c r="H2051" s="66">
        <v>0.13219400000000001</v>
      </c>
      <c r="I2051" s="66">
        <f>H2051*0.15</f>
        <v>1.9829099999999999E-2</v>
      </c>
      <c r="J2051" s="32">
        <f t="shared" si="508"/>
        <v>0.24455890000000002</v>
      </c>
      <c r="K2051" s="33">
        <f t="shared" si="501"/>
        <v>3.6683835000000005E-2</v>
      </c>
      <c r="L2051" s="33"/>
      <c r="O2051" s="2">
        <f t="shared" si="502"/>
        <v>5.5080833333333336E-2</v>
      </c>
      <c r="P2051" s="2">
        <f t="shared" si="503"/>
        <v>39.658200000000001</v>
      </c>
      <c r="Q2051" s="7">
        <f t="shared" si="504"/>
        <v>179.61141304347828</v>
      </c>
      <c r="R2051" s="2">
        <v>1.2</v>
      </c>
      <c r="S2051" s="2">
        <f t="shared" si="509"/>
        <v>3.7</v>
      </c>
      <c r="T2051" s="2"/>
      <c r="U2051" s="2"/>
      <c r="Y2051" s="8">
        <f t="shared" si="505"/>
        <v>5.3164978260869571</v>
      </c>
    </row>
    <row r="2052" spans="1:25" x14ac:dyDescent="0.25">
      <c r="A2052" s="34">
        <f t="shared" si="514"/>
        <v>2033</v>
      </c>
      <c r="B2052" s="34">
        <f t="shared" si="514"/>
        <v>45</v>
      </c>
      <c r="C2052" s="42" t="s">
        <v>546</v>
      </c>
      <c r="D2052" s="43" t="s">
        <v>547</v>
      </c>
      <c r="E2052" s="43"/>
      <c r="F2052" s="65">
        <v>0.17</v>
      </c>
      <c r="G2052" s="65">
        <f t="shared" si="515"/>
        <v>3.3490000000000006E-2</v>
      </c>
      <c r="H2052" s="66">
        <v>0.23331399999999999</v>
      </c>
      <c r="I2052" s="66">
        <f t="shared" ref="I2052:I2076" si="516">H2052*0.15</f>
        <v>3.4997099999999996E-2</v>
      </c>
      <c r="J2052" s="32">
        <f t="shared" si="508"/>
        <v>0.41413234999999998</v>
      </c>
      <c r="K2052" s="33">
        <f t="shared" si="501"/>
        <v>6.2119852499999996E-2</v>
      </c>
      <c r="L2052" s="33"/>
      <c r="O2052" s="2">
        <f t="shared" si="502"/>
        <v>9.7214166666666671E-2</v>
      </c>
      <c r="P2052" s="2">
        <f t="shared" si="503"/>
        <v>69.994200000000006</v>
      </c>
      <c r="Q2052" s="7">
        <f t="shared" si="504"/>
        <v>317.00271739130437</v>
      </c>
      <c r="R2052" s="2">
        <v>1.2</v>
      </c>
      <c r="S2052" s="2">
        <f t="shared" si="509"/>
        <v>3.55</v>
      </c>
      <c r="T2052" s="2"/>
      <c r="U2052" s="2"/>
      <c r="Y2052" s="8">
        <f t="shared" si="505"/>
        <v>9.0028771739130438</v>
      </c>
    </row>
    <row r="2053" spans="1:25" x14ac:dyDescent="0.25">
      <c r="A2053" s="34">
        <f t="shared" si="514"/>
        <v>2034</v>
      </c>
      <c r="B2053" s="34">
        <f t="shared" si="514"/>
        <v>46</v>
      </c>
      <c r="C2053" s="42" t="s">
        <v>538</v>
      </c>
      <c r="D2053" s="43">
        <v>301</v>
      </c>
      <c r="E2053" s="43"/>
      <c r="F2053" s="65">
        <v>0.29555700000000001</v>
      </c>
      <c r="G2053" s="65">
        <f t="shared" si="515"/>
        <v>5.8224729000000003E-2</v>
      </c>
      <c r="H2053" s="66">
        <v>8.9793999999999999E-2</v>
      </c>
      <c r="I2053" s="66">
        <f t="shared" si="516"/>
        <v>1.3469099999999999E-2</v>
      </c>
      <c r="J2053" s="32">
        <f t="shared" si="508"/>
        <v>0.19979165000000002</v>
      </c>
      <c r="K2053" s="33">
        <f t="shared" si="501"/>
        <v>2.99687475E-2</v>
      </c>
      <c r="L2053" s="33"/>
      <c r="O2053" s="2">
        <f t="shared" si="502"/>
        <v>3.7414166666666665E-2</v>
      </c>
      <c r="P2053" s="2">
        <f t="shared" si="503"/>
        <v>26.938199999999998</v>
      </c>
      <c r="Q2053" s="7">
        <f t="shared" si="504"/>
        <v>122.00271739130434</v>
      </c>
      <c r="R2053" s="2">
        <v>1.2</v>
      </c>
      <c r="S2053" s="2">
        <f t="shared" si="509"/>
        <v>4.45</v>
      </c>
      <c r="T2053" s="2"/>
      <c r="U2053" s="2"/>
      <c r="Y2053" s="8">
        <f t="shared" si="505"/>
        <v>4.3432967391304347</v>
      </c>
    </row>
    <row r="2054" spans="1:25" x14ac:dyDescent="0.25">
      <c r="A2054" s="34">
        <f t="shared" si="514"/>
        <v>2035</v>
      </c>
      <c r="B2054" s="34">
        <f t="shared" si="514"/>
        <v>47</v>
      </c>
      <c r="C2054" s="42" t="s">
        <v>538</v>
      </c>
      <c r="D2054" s="43">
        <v>303</v>
      </c>
      <c r="E2054" s="43"/>
      <c r="F2054" s="65">
        <v>0.29971100000000001</v>
      </c>
      <c r="G2054" s="65">
        <f t="shared" si="515"/>
        <v>5.9043067000000005E-2</v>
      </c>
      <c r="H2054" s="66">
        <v>9.3473000000000001E-2</v>
      </c>
      <c r="I2054" s="66">
        <f t="shared" si="516"/>
        <v>1.4020949999999999E-2</v>
      </c>
      <c r="J2054" s="32">
        <f t="shared" si="508"/>
        <v>0.20797742500000002</v>
      </c>
      <c r="K2054" s="33">
        <f t="shared" si="501"/>
        <v>3.1196613750000001E-2</v>
      </c>
      <c r="L2054" s="33"/>
      <c r="O2054" s="2">
        <f t="shared" si="502"/>
        <v>3.8947083333333334E-2</v>
      </c>
      <c r="P2054" s="2">
        <f t="shared" si="503"/>
        <v>28.041900000000002</v>
      </c>
      <c r="Q2054" s="7">
        <f t="shared" si="504"/>
        <v>127.00135869565219</v>
      </c>
      <c r="R2054" s="2">
        <v>1.2</v>
      </c>
      <c r="S2054" s="2">
        <f t="shared" si="509"/>
        <v>4.45</v>
      </c>
      <c r="T2054" s="2"/>
      <c r="U2054" s="2"/>
      <c r="Y2054" s="8">
        <f t="shared" si="505"/>
        <v>4.5212483695652184</v>
      </c>
    </row>
    <row r="2055" spans="1:25" x14ac:dyDescent="0.25">
      <c r="A2055" s="34">
        <f t="shared" si="514"/>
        <v>2036</v>
      </c>
      <c r="B2055" s="34">
        <f t="shared" si="514"/>
        <v>48</v>
      </c>
      <c r="C2055" s="42" t="s">
        <v>538</v>
      </c>
      <c r="D2055" s="43">
        <v>305</v>
      </c>
      <c r="E2055" s="43"/>
      <c r="F2055" s="65">
        <v>9.1220999999999997E-2</v>
      </c>
      <c r="G2055" s="65">
        <f t="shared" si="515"/>
        <v>1.7970537000000002E-2</v>
      </c>
      <c r="H2055" s="66">
        <v>2.6495999999999999E-2</v>
      </c>
      <c r="I2055" s="66">
        <f t="shared" si="516"/>
        <v>3.9743999999999995E-3</v>
      </c>
      <c r="J2055" s="32">
        <f t="shared" si="508"/>
        <v>5.8953600000000002E-2</v>
      </c>
      <c r="K2055" s="33">
        <f t="shared" si="501"/>
        <v>8.8430399999999999E-3</v>
      </c>
      <c r="L2055" s="33"/>
      <c r="O2055" s="2">
        <f t="shared" si="502"/>
        <v>1.1039999999999999E-2</v>
      </c>
      <c r="P2055" s="2">
        <f t="shared" si="503"/>
        <v>7.9487999999999994</v>
      </c>
      <c r="Q2055" s="7">
        <f t="shared" si="504"/>
        <v>36</v>
      </c>
      <c r="R2055" s="2">
        <v>1.2</v>
      </c>
      <c r="S2055" s="2">
        <f t="shared" si="509"/>
        <v>4.45</v>
      </c>
      <c r="T2055" s="2"/>
      <c r="U2055" s="2"/>
      <c r="Y2055" s="8">
        <f t="shared" si="505"/>
        <v>1.2816000000000001</v>
      </c>
    </row>
    <row r="2056" spans="1:25" x14ac:dyDescent="0.25">
      <c r="A2056" s="34">
        <f t="shared" si="514"/>
        <v>2037</v>
      </c>
      <c r="B2056" s="34">
        <f t="shared" si="514"/>
        <v>49</v>
      </c>
      <c r="C2056" s="42" t="s">
        <v>548</v>
      </c>
      <c r="D2056" s="43">
        <v>16</v>
      </c>
      <c r="E2056" s="43"/>
      <c r="F2056" s="65">
        <v>7.7185000000000004E-2</v>
      </c>
      <c r="G2056" s="65">
        <f t="shared" si="515"/>
        <v>1.5205445000000001E-2</v>
      </c>
      <c r="H2056" s="66">
        <v>2.1343000000000001E-2</v>
      </c>
      <c r="I2056" s="66">
        <f t="shared" si="516"/>
        <v>3.2014500000000002E-3</v>
      </c>
      <c r="J2056" s="32">
        <f t="shared" si="508"/>
        <v>4.7488175000000001E-2</v>
      </c>
      <c r="K2056" s="33">
        <f t="shared" si="501"/>
        <v>7.1232262499999997E-3</v>
      </c>
      <c r="L2056" s="33"/>
      <c r="O2056" s="2">
        <f t="shared" si="502"/>
        <v>8.892916666666667E-3</v>
      </c>
      <c r="P2056" s="2">
        <f t="shared" si="503"/>
        <v>6.4029000000000007</v>
      </c>
      <c r="Q2056" s="7">
        <f t="shared" si="504"/>
        <v>28.998641304347831</v>
      </c>
      <c r="R2056" s="2">
        <v>1.2</v>
      </c>
      <c r="S2056" s="2">
        <f t="shared" si="509"/>
        <v>4.45</v>
      </c>
      <c r="T2056" s="2"/>
      <c r="U2056" s="2"/>
      <c r="Y2056" s="8">
        <f t="shared" si="505"/>
        <v>1.0323516304347826</v>
      </c>
    </row>
    <row r="2057" spans="1:25" x14ac:dyDescent="0.25">
      <c r="A2057" s="34">
        <f t="shared" si="514"/>
        <v>2038</v>
      </c>
      <c r="B2057" s="34">
        <f t="shared" si="514"/>
        <v>50</v>
      </c>
      <c r="C2057" s="42" t="s">
        <v>548</v>
      </c>
      <c r="D2057" s="43" t="s">
        <v>549</v>
      </c>
      <c r="E2057" s="43"/>
      <c r="F2057" s="65">
        <v>6.8092E-2</v>
      </c>
      <c r="G2057" s="65">
        <f t="shared" si="515"/>
        <v>1.3414124000000001E-2</v>
      </c>
      <c r="H2057" s="66">
        <v>2.2079999999999999E-2</v>
      </c>
      <c r="I2057" s="66">
        <f t="shared" si="516"/>
        <v>3.3119999999999998E-3</v>
      </c>
      <c r="J2057" s="32">
        <f t="shared" si="508"/>
        <v>4.9127999999999998E-2</v>
      </c>
      <c r="K2057" s="33">
        <f t="shared" si="501"/>
        <v>7.3691999999999994E-3</v>
      </c>
      <c r="L2057" s="33"/>
      <c r="O2057" s="2">
        <f t="shared" si="502"/>
        <v>9.1999999999999998E-3</v>
      </c>
      <c r="P2057" s="2">
        <f t="shared" si="503"/>
        <v>6.6239999999999997</v>
      </c>
      <c r="Q2057" s="7">
        <f t="shared" si="504"/>
        <v>30</v>
      </c>
      <c r="R2057" s="2">
        <v>1.2</v>
      </c>
      <c r="S2057" s="2">
        <f t="shared" si="509"/>
        <v>4.45</v>
      </c>
      <c r="T2057" s="2"/>
      <c r="U2057" s="2"/>
      <c r="Y2057" s="8">
        <f t="shared" si="505"/>
        <v>1.0679999999999998</v>
      </c>
    </row>
    <row r="2058" spans="1:25" x14ac:dyDescent="0.25">
      <c r="A2058" s="34">
        <f t="shared" ref="A2058:B2073" si="517">A2057+1</f>
        <v>2039</v>
      </c>
      <c r="B2058" s="34">
        <f t="shared" si="517"/>
        <v>51</v>
      </c>
      <c r="C2058" s="42" t="s">
        <v>548</v>
      </c>
      <c r="D2058" s="43" t="s">
        <v>550</v>
      </c>
      <c r="E2058" s="43"/>
      <c r="F2058" s="65">
        <v>6.9702E-2</v>
      </c>
      <c r="G2058" s="65">
        <f t="shared" si="515"/>
        <v>1.3731294E-2</v>
      </c>
      <c r="H2058" s="66">
        <v>4.4159999999999998E-2</v>
      </c>
      <c r="I2058" s="66">
        <f t="shared" si="516"/>
        <v>6.6239999999999997E-3</v>
      </c>
      <c r="J2058" s="32">
        <f t="shared" si="508"/>
        <v>9.8255999999999996E-2</v>
      </c>
      <c r="K2058" s="33">
        <f t="shared" si="501"/>
        <v>1.4738399999999999E-2</v>
      </c>
      <c r="L2058" s="33"/>
      <c r="O2058" s="2">
        <f t="shared" si="502"/>
        <v>1.84E-2</v>
      </c>
      <c r="P2058" s="2">
        <f t="shared" si="503"/>
        <v>13.247999999999999</v>
      </c>
      <c r="Q2058" s="7">
        <f t="shared" si="504"/>
        <v>60</v>
      </c>
      <c r="R2058" s="2">
        <v>1.2</v>
      </c>
      <c r="S2058" s="2">
        <f t="shared" si="509"/>
        <v>4.45</v>
      </c>
      <c r="T2058" s="2"/>
      <c r="U2058" s="2"/>
      <c r="Y2058" s="8">
        <f t="shared" si="505"/>
        <v>2.1359999999999997</v>
      </c>
    </row>
    <row r="2059" spans="1:25" x14ac:dyDescent="0.25">
      <c r="A2059" s="34">
        <f t="shared" si="517"/>
        <v>2040</v>
      </c>
      <c r="B2059" s="34">
        <f t="shared" si="517"/>
        <v>52</v>
      </c>
      <c r="C2059" s="42" t="s">
        <v>542</v>
      </c>
      <c r="D2059" s="43">
        <v>151</v>
      </c>
      <c r="E2059" s="43"/>
      <c r="F2059" s="65">
        <v>0.10936</v>
      </c>
      <c r="G2059" s="65">
        <f t="shared" si="515"/>
        <v>2.1543920000000001E-2</v>
      </c>
      <c r="H2059" s="66">
        <v>4.752E-2</v>
      </c>
      <c r="I2059" s="66">
        <f t="shared" si="516"/>
        <v>7.1279999999999998E-3</v>
      </c>
      <c r="J2059" s="32">
        <f t="shared" si="508"/>
        <v>0.10573200000000001</v>
      </c>
      <c r="K2059" s="33">
        <f t="shared" si="501"/>
        <v>1.58598E-2</v>
      </c>
      <c r="L2059" s="33"/>
      <c r="O2059" s="2">
        <f t="shared" si="502"/>
        <v>1.9800000000000002E-2</v>
      </c>
      <c r="P2059" s="2">
        <f t="shared" si="503"/>
        <v>14.256000000000002</v>
      </c>
      <c r="Q2059" s="7">
        <f t="shared" si="504"/>
        <v>64.565217391304358</v>
      </c>
      <c r="R2059" s="2">
        <v>1.2</v>
      </c>
      <c r="S2059" s="2">
        <f t="shared" si="509"/>
        <v>4.45</v>
      </c>
      <c r="T2059" s="2"/>
      <c r="U2059" s="2"/>
      <c r="Y2059" s="8">
        <f t="shared" si="505"/>
        <v>2.2985217391304347</v>
      </c>
    </row>
    <row r="2060" spans="1:25" x14ac:dyDescent="0.25">
      <c r="A2060" s="34">
        <f t="shared" si="517"/>
        <v>2041</v>
      </c>
      <c r="B2060" s="34">
        <f t="shared" si="517"/>
        <v>53</v>
      </c>
      <c r="C2060" s="42" t="s">
        <v>551</v>
      </c>
      <c r="D2060" s="43" t="s">
        <v>388</v>
      </c>
      <c r="E2060" s="43"/>
      <c r="F2060" s="65">
        <v>5.5279000000000002E-2</v>
      </c>
      <c r="G2060" s="65">
        <f t="shared" si="515"/>
        <v>1.0889963000000001E-2</v>
      </c>
      <c r="H2060" s="66">
        <v>2.9440999999999998E-2</v>
      </c>
      <c r="I2060" s="66">
        <f t="shared" si="516"/>
        <v>4.4161499999999998E-3</v>
      </c>
      <c r="J2060" s="32">
        <f t="shared" si="508"/>
        <v>6.5506225000000001E-2</v>
      </c>
      <c r="K2060" s="33">
        <f t="shared" ref="K2060:K2123" si="518">J2060*0.15</f>
        <v>9.8259337499999998E-3</v>
      </c>
      <c r="L2060" s="33"/>
      <c r="O2060" s="2">
        <f t="shared" si="502"/>
        <v>1.2267083333333333E-2</v>
      </c>
      <c r="P2060" s="2">
        <f t="shared" si="503"/>
        <v>8.8323</v>
      </c>
      <c r="Q2060" s="7">
        <f t="shared" si="504"/>
        <v>40.001358695652172</v>
      </c>
      <c r="R2060" s="2">
        <v>1.2</v>
      </c>
      <c r="S2060" s="2">
        <f t="shared" si="509"/>
        <v>4.45</v>
      </c>
      <c r="T2060" s="2"/>
      <c r="U2060" s="2"/>
      <c r="Y2060" s="8">
        <f t="shared" si="505"/>
        <v>1.4240483695652175</v>
      </c>
    </row>
    <row r="2061" spans="1:25" x14ac:dyDescent="0.25">
      <c r="A2061" s="34">
        <f t="shared" si="517"/>
        <v>2042</v>
      </c>
      <c r="B2061" s="34">
        <f t="shared" si="517"/>
        <v>54</v>
      </c>
      <c r="C2061" s="42" t="s">
        <v>552</v>
      </c>
      <c r="D2061" s="43">
        <v>79</v>
      </c>
      <c r="E2061" s="43"/>
      <c r="F2061" s="65">
        <v>2.8025000000000001E-2</v>
      </c>
      <c r="G2061" s="65">
        <f t="shared" si="515"/>
        <v>5.5209250000000003E-3</v>
      </c>
      <c r="H2061" s="66">
        <v>1.5264E-2</v>
      </c>
      <c r="I2061" s="66">
        <f t="shared" si="516"/>
        <v>2.2895999999999997E-3</v>
      </c>
      <c r="J2061" s="32">
        <f t="shared" si="508"/>
        <v>3.3962400000000004E-2</v>
      </c>
      <c r="K2061" s="33">
        <f t="shared" si="518"/>
        <v>5.09436E-3</v>
      </c>
      <c r="L2061" s="33"/>
      <c r="O2061" s="2">
        <f t="shared" ref="O2061:O2124" si="519">H2061/2.4</f>
        <v>6.3600000000000002E-3</v>
      </c>
      <c r="P2061" s="2">
        <f t="shared" ref="P2061:P2124" si="520">O2061*24*30</f>
        <v>4.5792000000000002</v>
      </c>
      <c r="Q2061" s="7">
        <f t="shared" ref="Q2061:Q2124" si="521">P2061/0.2208</f>
        <v>20.739130434782609</v>
      </c>
      <c r="R2061" s="2">
        <v>1.2</v>
      </c>
      <c r="S2061" s="2">
        <f t="shared" si="509"/>
        <v>4.45</v>
      </c>
      <c r="T2061" s="2"/>
      <c r="U2061" s="2"/>
      <c r="Y2061" s="8">
        <f t="shared" si="505"/>
        <v>0.73831304347826088</v>
      </c>
    </row>
    <row r="2062" spans="1:25" x14ac:dyDescent="0.25">
      <c r="A2062" s="34">
        <f t="shared" si="517"/>
        <v>2043</v>
      </c>
      <c r="B2062" s="34">
        <f t="shared" si="517"/>
        <v>55</v>
      </c>
      <c r="C2062" s="42" t="s">
        <v>553</v>
      </c>
      <c r="D2062" s="43" t="s">
        <v>554</v>
      </c>
      <c r="E2062" s="43"/>
      <c r="F2062" s="65">
        <v>0.17133300000000001</v>
      </c>
      <c r="G2062" s="65">
        <f t="shared" si="515"/>
        <v>3.3752601000000007E-2</v>
      </c>
      <c r="H2062" s="66">
        <v>3.0178E-2</v>
      </c>
      <c r="I2062" s="66">
        <f t="shared" si="516"/>
        <v>4.5266999999999998E-3</v>
      </c>
      <c r="J2062" s="32">
        <f t="shared" si="508"/>
        <v>6.7146049999999999E-2</v>
      </c>
      <c r="K2062" s="33">
        <f t="shared" si="518"/>
        <v>1.0071907499999999E-2</v>
      </c>
      <c r="L2062" s="33"/>
      <c r="O2062" s="2">
        <f t="shared" si="519"/>
        <v>1.2574166666666668E-2</v>
      </c>
      <c r="P2062" s="2">
        <f t="shared" si="520"/>
        <v>9.0534000000000017</v>
      </c>
      <c r="Q2062" s="7">
        <f t="shared" si="521"/>
        <v>41.002717391304358</v>
      </c>
      <c r="R2062" s="2">
        <v>1.2</v>
      </c>
      <c r="S2062" s="2">
        <f t="shared" si="509"/>
        <v>4.45</v>
      </c>
      <c r="T2062" s="2"/>
      <c r="U2062" s="2"/>
      <c r="Y2062" s="8">
        <f t="shared" si="505"/>
        <v>1.4596967391304347</v>
      </c>
    </row>
    <row r="2063" spans="1:25" x14ac:dyDescent="0.25">
      <c r="A2063" s="34">
        <f t="shared" si="517"/>
        <v>2044</v>
      </c>
      <c r="B2063" s="34">
        <f t="shared" si="517"/>
        <v>56</v>
      </c>
      <c r="C2063" s="42" t="s">
        <v>555</v>
      </c>
      <c r="D2063" s="43" t="s">
        <v>556</v>
      </c>
      <c r="E2063" s="43"/>
      <c r="F2063" s="65">
        <v>3.2041E-2</v>
      </c>
      <c r="G2063" s="65">
        <f t="shared" si="515"/>
        <v>6.3120770000000001E-3</v>
      </c>
      <c r="H2063" s="66">
        <v>1.7663999999999999E-2</v>
      </c>
      <c r="I2063" s="66">
        <f t="shared" si="516"/>
        <v>2.6495999999999998E-3</v>
      </c>
      <c r="J2063" s="32">
        <f t="shared" si="508"/>
        <v>3.9302400000000001E-2</v>
      </c>
      <c r="K2063" s="33">
        <f t="shared" si="518"/>
        <v>5.8953599999999997E-3</v>
      </c>
      <c r="L2063" s="33"/>
      <c r="O2063" s="2">
        <f t="shared" si="519"/>
        <v>7.3600000000000002E-3</v>
      </c>
      <c r="P2063" s="2">
        <f t="shared" si="520"/>
        <v>5.2992000000000008</v>
      </c>
      <c r="Q2063" s="7">
        <f t="shared" si="521"/>
        <v>24.000000000000004</v>
      </c>
      <c r="R2063" s="2">
        <v>1.2</v>
      </c>
      <c r="S2063" s="2">
        <f t="shared" si="509"/>
        <v>4.45</v>
      </c>
      <c r="T2063" s="2"/>
      <c r="U2063" s="2"/>
      <c r="Y2063" s="8">
        <f t="shared" si="505"/>
        <v>0.85440000000000005</v>
      </c>
    </row>
    <row r="2064" spans="1:25" x14ac:dyDescent="0.25">
      <c r="A2064" s="34">
        <f t="shared" si="517"/>
        <v>2045</v>
      </c>
      <c r="B2064" s="34">
        <f t="shared" si="517"/>
        <v>57</v>
      </c>
      <c r="C2064" s="42" t="s">
        <v>557</v>
      </c>
      <c r="D2064" s="43" t="s">
        <v>514</v>
      </c>
      <c r="E2064" s="43"/>
      <c r="F2064" s="65">
        <v>0.13067000000000001</v>
      </c>
      <c r="G2064" s="65">
        <f t="shared" si="515"/>
        <v>2.5741990000000003E-2</v>
      </c>
      <c r="H2064" s="66">
        <v>1.7663999999999999E-2</v>
      </c>
      <c r="I2064" s="66">
        <f t="shared" si="516"/>
        <v>2.6495999999999998E-3</v>
      </c>
      <c r="J2064" s="32">
        <f t="shared" si="508"/>
        <v>3.9302400000000001E-2</v>
      </c>
      <c r="K2064" s="33">
        <f t="shared" si="518"/>
        <v>5.8953599999999997E-3</v>
      </c>
      <c r="L2064" s="33"/>
      <c r="O2064" s="2">
        <f t="shared" si="519"/>
        <v>7.3600000000000002E-3</v>
      </c>
      <c r="P2064" s="2">
        <f t="shared" si="520"/>
        <v>5.2992000000000008</v>
      </c>
      <c r="Q2064" s="7">
        <f t="shared" si="521"/>
        <v>24.000000000000004</v>
      </c>
      <c r="R2064" s="2">
        <v>1.2</v>
      </c>
      <c r="S2064" s="2">
        <f t="shared" si="509"/>
        <v>4.45</v>
      </c>
      <c r="T2064" s="2"/>
      <c r="U2064" s="2"/>
      <c r="Y2064" s="8">
        <f t="shared" si="505"/>
        <v>0.85440000000000005</v>
      </c>
    </row>
    <row r="2065" spans="1:25" x14ac:dyDescent="0.25">
      <c r="A2065" s="34">
        <f t="shared" si="517"/>
        <v>2046</v>
      </c>
      <c r="B2065" s="34">
        <f t="shared" si="517"/>
        <v>58</v>
      </c>
      <c r="C2065" s="42" t="s">
        <v>558</v>
      </c>
      <c r="D2065" s="43">
        <v>1</v>
      </c>
      <c r="E2065" s="43"/>
      <c r="F2065" s="65">
        <v>0.13367799999999999</v>
      </c>
      <c r="G2065" s="65">
        <f t="shared" si="515"/>
        <v>2.6334566E-2</v>
      </c>
      <c r="H2065" s="66">
        <v>5.3726000000000003E-2</v>
      </c>
      <c r="I2065" s="66">
        <f t="shared" si="516"/>
        <v>8.0589000000000008E-3</v>
      </c>
      <c r="J2065" s="32">
        <f t="shared" si="508"/>
        <v>0.11954035000000002</v>
      </c>
      <c r="K2065" s="33">
        <f t="shared" si="518"/>
        <v>1.7931052500000003E-2</v>
      </c>
      <c r="L2065" s="33"/>
      <c r="O2065" s="2">
        <f t="shared" si="519"/>
        <v>2.2385833333333334E-2</v>
      </c>
      <c r="P2065" s="2">
        <f t="shared" si="520"/>
        <v>16.117800000000003</v>
      </c>
      <c r="Q2065" s="7">
        <f t="shared" si="521"/>
        <v>72.99728260869567</v>
      </c>
      <c r="R2065" s="2">
        <v>1.2</v>
      </c>
      <c r="S2065" s="2">
        <f t="shared" si="509"/>
        <v>4.45</v>
      </c>
      <c r="T2065" s="2"/>
      <c r="U2065" s="2"/>
      <c r="Y2065" s="8">
        <f t="shared" si="505"/>
        <v>2.5987032608695655</v>
      </c>
    </row>
    <row r="2066" spans="1:25" x14ac:dyDescent="0.25">
      <c r="A2066" s="34">
        <f t="shared" si="517"/>
        <v>2047</v>
      </c>
      <c r="B2066" s="34">
        <f t="shared" si="517"/>
        <v>59</v>
      </c>
      <c r="C2066" s="42" t="s">
        <v>558</v>
      </c>
      <c r="D2066" s="43">
        <v>2</v>
      </c>
      <c r="E2066" s="43"/>
      <c r="F2066" s="65">
        <v>0.13367799999999999</v>
      </c>
      <c r="G2066" s="65">
        <f t="shared" si="515"/>
        <v>2.6334566E-2</v>
      </c>
      <c r="H2066" s="66">
        <v>5.2257999999999999E-2</v>
      </c>
      <c r="I2066" s="66">
        <f t="shared" si="516"/>
        <v>7.8386999999999988E-3</v>
      </c>
      <c r="J2066" s="32">
        <f t="shared" si="508"/>
        <v>0.11627405</v>
      </c>
      <c r="K2066" s="33">
        <f t="shared" si="518"/>
        <v>1.7441107500000001E-2</v>
      </c>
      <c r="L2066" s="33"/>
      <c r="O2066" s="2">
        <f t="shared" si="519"/>
        <v>2.1774166666666667E-2</v>
      </c>
      <c r="P2066" s="2">
        <f t="shared" si="520"/>
        <v>15.677400000000002</v>
      </c>
      <c r="Q2066" s="7">
        <f t="shared" si="521"/>
        <v>71.002717391304358</v>
      </c>
      <c r="R2066" s="2">
        <v>1.2</v>
      </c>
      <c r="S2066" s="2">
        <f t="shared" si="509"/>
        <v>4.45</v>
      </c>
      <c r="T2066" s="2"/>
      <c r="U2066" s="2"/>
      <c r="Y2066" s="8">
        <f t="shared" si="505"/>
        <v>2.5276967391304348</v>
      </c>
    </row>
    <row r="2067" spans="1:25" x14ac:dyDescent="0.25">
      <c r="A2067" s="34">
        <f t="shared" si="517"/>
        <v>2048</v>
      </c>
      <c r="B2067" s="34">
        <f t="shared" si="517"/>
        <v>60</v>
      </c>
      <c r="C2067" s="42" t="s">
        <v>558</v>
      </c>
      <c r="D2067" s="43">
        <v>3</v>
      </c>
      <c r="E2067" s="43"/>
      <c r="F2067" s="65">
        <v>0.15760399999999999</v>
      </c>
      <c r="G2067" s="65">
        <f t="shared" si="515"/>
        <v>3.1047987999999999E-2</v>
      </c>
      <c r="H2067" s="66">
        <v>5.5199999999999999E-2</v>
      </c>
      <c r="I2067" s="66">
        <f t="shared" si="516"/>
        <v>8.2799999999999992E-3</v>
      </c>
      <c r="J2067" s="32">
        <f t="shared" si="508"/>
        <v>0.12282</v>
      </c>
      <c r="K2067" s="33">
        <f t="shared" si="518"/>
        <v>1.8422999999999998E-2</v>
      </c>
      <c r="L2067" s="33"/>
      <c r="O2067" s="2">
        <f t="shared" si="519"/>
        <v>2.3E-2</v>
      </c>
      <c r="P2067" s="2">
        <f t="shared" si="520"/>
        <v>16.560000000000002</v>
      </c>
      <c r="Q2067" s="7">
        <f t="shared" si="521"/>
        <v>75.000000000000014</v>
      </c>
      <c r="R2067" s="2">
        <v>1.2</v>
      </c>
      <c r="S2067" s="2">
        <f t="shared" si="509"/>
        <v>4.45</v>
      </c>
      <c r="T2067" s="2"/>
      <c r="U2067" s="2"/>
      <c r="Y2067" s="8">
        <f t="shared" si="505"/>
        <v>2.67</v>
      </c>
    </row>
    <row r="2068" spans="1:25" x14ac:dyDescent="0.25">
      <c r="A2068" s="34">
        <f t="shared" si="517"/>
        <v>2049</v>
      </c>
      <c r="B2068" s="34">
        <f t="shared" si="517"/>
        <v>61</v>
      </c>
      <c r="C2068" s="42" t="s">
        <v>559</v>
      </c>
      <c r="D2068" s="43">
        <v>31</v>
      </c>
      <c r="E2068" s="43">
        <v>1</v>
      </c>
      <c r="F2068" s="65">
        <v>0.44035099999999999</v>
      </c>
      <c r="G2068" s="65">
        <f t="shared" si="515"/>
        <v>8.6749146999999999E-2</v>
      </c>
      <c r="H2068" s="66">
        <v>0.14104</v>
      </c>
      <c r="I2068" s="66">
        <f t="shared" si="516"/>
        <v>2.1155999999999998E-2</v>
      </c>
      <c r="J2068" s="32">
        <f t="shared" si="508"/>
        <v>0.26092399999999999</v>
      </c>
      <c r="K2068" s="33">
        <f t="shared" si="518"/>
        <v>3.9138599999999996E-2</v>
      </c>
      <c r="L2068" s="33"/>
      <c r="O2068" s="2">
        <f t="shared" si="519"/>
        <v>5.8766666666666668E-2</v>
      </c>
      <c r="P2068" s="2">
        <f t="shared" si="520"/>
        <v>42.312000000000005</v>
      </c>
      <c r="Q2068" s="7">
        <f t="shared" si="521"/>
        <v>191.63043478260872</v>
      </c>
      <c r="R2068" s="2">
        <v>1.2</v>
      </c>
      <c r="S2068" s="2">
        <f t="shared" si="509"/>
        <v>3.7</v>
      </c>
      <c r="T2068" s="2"/>
      <c r="U2068" s="2"/>
      <c r="Y2068" s="8">
        <f t="shared" si="505"/>
        <v>5.6722608695652168</v>
      </c>
    </row>
    <row r="2069" spans="1:25" x14ac:dyDescent="0.25">
      <c r="A2069" s="34">
        <f t="shared" si="517"/>
        <v>2050</v>
      </c>
      <c r="B2069" s="34">
        <f t="shared" si="517"/>
        <v>62</v>
      </c>
      <c r="C2069" s="42" t="s">
        <v>559</v>
      </c>
      <c r="D2069" s="43">
        <v>31</v>
      </c>
      <c r="E2069" s="43">
        <v>2</v>
      </c>
      <c r="F2069" s="65">
        <v>0.44035099999999999</v>
      </c>
      <c r="G2069" s="65">
        <f t="shared" si="515"/>
        <v>8.6749146999999999E-2</v>
      </c>
      <c r="H2069" s="66">
        <v>0.14104</v>
      </c>
      <c r="I2069" s="66">
        <f t="shared" si="516"/>
        <v>2.1155999999999998E-2</v>
      </c>
      <c r="J2069" s="32">
        <f t="shared" si="508"/>
        <v>0.26092399999999999</v>
      </c>
      <c r="K2069" s="33">
        <f t="shared" si="518"/>
        <v>3.9138599999999996E-2</v>
      </c>
      <c r="L2069" s="33"/>
      <c r="O2069" s="2">
        <f t="shared" si="519"/>
        <v>5.8766666666666668E-2</v>
      </c>
      <c r="P2069" s="2">
        <f t="shared" si="520"/>
        <v>42.312000000000005</v>
      </c>
      <c r="Q2069" s="7">
        <f t="shared" si="521"/>
        <v>191.63043478260872</v>
      </c>
      <c r="R2069" s="2">
        <v>1.2</v>
      </c>
      <c r="S2069" s="2">
        <f t="shared" si="509"/>
        <v>3.7</v>
      </c>
      <c r="T2069" s="2"/>
      <c r="U2069" s="2"/>
      <c r="Y2069" s="8">
        <f t="shared" si="505"/>
        <v>5.6722608695652168</v>
      </c>
    </row>
    <row r="2070" spans="1:25" x14ac:dyDescent="0.25">
      <c r="A2070" s="34">
        <f t="shared" si="517"/>
        <v>2051</v>
      </c>
      <c r="B2070" s="34">
        <f t="shared" si="517"/>
        <v>63</v>
      </c>
      <c r="C2070" s="42" t="s">
        <v>560</v>
      </c>
      <c r="D2070" s="43">
        <v>145</v>
      </c>
      <c r="E2070" s="43"/>
      <c r="F2070" s="65">
        <v>0.28203800000000001</v>
      </c>
      <c r="G2070" s="65">
        <f t="shared" si="515"/>
        <v>5.5561486000000007E-2</v>
      </c>
      <c r="H2070" s="66">
        <v>0.11849800000000001</v>
      </c>
      <c r="I2070" s="66">
        <f t="shared" si="516"/>
        <v>1.7774700000000001E-2</v>
      </c>
      <c r="J2070" s="32">
        <f t="shared" si="508"/>
        <v>0.21922130000000004</v>
      </c>
      <c r="K2070" s="33">
        <f t="shared" si="518"/>
        <v>3.2883195000000004E-2</v>
      </c>
      <c r="L2070" s="33"/>
      <c r="O2070" s="2">
        <f t="shared" si="519"/>
        <v>4.937416666666667E-2</v>
      </c>
      <c r="P2070" s="2">
        <f t="shared" si="520"/>
        <v>35.549400000000006</v>
      </c>
      <c r="Q2070" s="7">
        <f t="shared" si="521"/>
        <v>161.00271739130437</v>
      </c>
      <c r="R2070" s="2">
        <v>1.2</v>
      </c>
      <c r="S2070" s="2">
        <f t="shared" si="509"/>
        <v>3.7</v>
      </c>
      <c r="T2070" s="2"/>
      <c r="U2070" s="2"/>
      <c r="Y2070" s="8">
        <f t="shared" si="505"/>
        <v>4.7656804347826096</v>
      </c>
    </row>
    <row r="2071" spans="1:25" x14ac:dyDescent="0.25">
      <c r="A2071" s="34">
        <f t="shared" si="517"/>
        <v>2052</v>
      </c>
      <c r="B2071" s="34">
        <f t="shared" si="517"/>
        <v>64</v>
      </c>
      <c r="C2071" s="42" t="s">
        <v>561</v>
      </c>
      <c r="D2071" s="43">
        <v>111</v>
      </c>
      <c r="E2071" s="43">
        <v>1</v>
      </c>
      <c r="F2071" s="65">
        <v>0.12890099999999999</v>
      </c>
      <c r="G2071" s="65">
        <f t="shared" si="515"/>
        <v>2.5393496999999998E-2</v>
      </c>
      <c r="H2071" s="66">
        <v>5.9125666666666667E-2</v>
      </c>
      <c r="I2071" s="66">
        <f t="shared" si="516"/>
        <v>8.8688499999999993E-3</v>
      </c>
      <c r="J2071" s="32">
        <f t="shared" si="508"/>
        <v>0.13155460833333335</v>
      </c>
      <c r="K2071" s="33">
        <f t="shared" si="518"/>
        <v>1.973319125E-2</v>
      </c>
      <c r="L2071" s="33"/>
      <c r="O2071" s="2">
        <f t="shared" si="519"/>
        <v>2.4635694444444446E-2</v>
      </c>
      <c r="P2071" s="2">
        <f t="shared" si="520"/>
        <v>17.737700000000004</v>
      </c>
      <c r="Q2071" s="7">
        <f t="shared" si="521"/>
        <v>80.333786231884076</v>
      </c>
      <c r="R2071" s="2">
        <v>1.2</v>
      </c>
      <c r="S2071" s="2">
        <f t="shared" si="509"/>
        <v>4.45</v>
      </c>
      <c r="T2071" s="2"/>
      <c r="U2071" s="2"/>
      <c r="Y2071" s="8">
        <f t="shared" ref="Y2071:Y2134" si="522">J2071/46*1000</f>
        <v>2.8598827898550727</v>
      </c>
    </row>
    <row r="2072" spans="1:25" x14ac:dyDescent="0.25">
      <c r="A2072" s="34">
        <f t="shared" si="517"/>
        <v>2053</v>
      </c>
      <c r="B2072" s="34">
        <f t="shared" si="517"/>
        <v>65</v>
      </c>
      <c r="C2072" s="42" t="s">
        <v>561</v>
      </c>
      <c r="D2072" s="43">
        <v>111</v>
      </c>
      <c r="E2072" s="43">
        <v>2</v>
      </c>
      <c r="F2072" s="65">
        <v>0.12890099999999999</v>
      </c>
      <c r="G2072" s="65">
        <f t="shared" si="515"/>
        <v>2.5393496999999998E-2</v>
      </c>
      <c r="H2072" s="66">
        <v>5.9125666666666667E-2</v>
      </c>
      <c r="I2072" s="66">
        <f t="shared" si="516"/>
        <v>8.8688499999999993E-3</v>
      </c>
      <c r="J2072" s="32">
        <f t="shared" ref="J2072:J2135" si="523">O2072*R2072*S2072</f>
        <v>0.13155460833333335</v>
      </c>
      <c r="K2072" s="33">
        <f t="shared" si="518"/>
        <v>1.973319125E-2</v>
      </c>
      <c r="L2072" s="33"/>
      <c r="O2072" s="2">
        <f t="shared" si="519"/>
        <v>2.4635694444444446E-2</v>
      </c>
      <c r="P2072" s="2">
        <f t="shared" si="520"/>
        <v>17.737700000000004</v>
      </c>
      <c r="Q2072" s="7">
        <f t="shared" si="521"/>
        <v>80.333786231884076</v>
      </c>
      <c r="R2072" s="2">
        <v>1.2</v>
      </c>
      <c r="S2072" s="2">
        <f t="shared" ref="S2072:S2135" si="524">IF(Q2072&lt;=$AE$6,$AF$6,IF(Q2072&lt;=$AE$7,$AF$7,IF(Q2072&lt;=$AE$8,$AF$8,IF(Q2072&lt;=$AE$9,$AF$9,IF(Q2072&lt;=$AE$10,$AF$10,0)))))</f>
        <v>4.45</v>
      </c>
      <c r="T2072" s="2"/>
      <c r="U2072" s="2"/>
      <c r="Y2072" s="8">
        <f t="shared" si="522"/>
        <v>2.8598827898550727</v>
      </c>
    </row>
    <row r="2073" spans="1:25" x14ac:dyDescent="0.25">
      <c r="A2073" s="34">
        <f t="shared" si="517"/>
        <v>2054</v>
      </c>
      <c r="B2073" s="34">
        <f t="shared" si="517"/>
        <v>66</v>
      </c>
      <c r="C2073" s="42" t="s">
        <v>561</v>
      </c>
      <c r="D2073" s="43">
        <v>111</v>
      </c>
      <c r="E2073" s="43">
        <v>3</v>
      </c>
      <c r="F2073" s="65">
        <v>0.12890099999999999</v>
      </c>
      <c r="G2073" s="65">
        <f t="shared" si="515"/>
        <v>2.5393496999999998E-2</v>
      </c>
      <c r="H2073" s="66">
        <v>5.9125666666666667E-2</v>
      </c>
      <c r="I2073" s="66">
        <f t="shared" si="516"/>
        <v>8.8688499999999993E-3</v>
      </c>
      <c r="J2073" s="32">
        <f t="shared" si="523"/>
        <v>0.13155460833333335</v>
      </c>
      <c r="K2073" s="33">
        <f t="shared" si="518"/>
        <v>1.973319125E-2</v>
      </c>
      <c r="L2073" s="33"/>
      <c r="O2073" s="2">
        <f t="shared" si="519"/>
        <v>2.4635694444444446E-2</v>
      </c>
      <c r="P2073" s="2">
        <f t="shared" si="520"/>
        <v>17.737700000000004</v>
      </c>
      <c r="Q2073" s="7">
        <f t="shared" si="521"/>
        <v>80.333786231884076</v>
      </c>
      <c r="R2073" s="2">
        <v>1.2</v>
      </c>
      <c r="S2073" s="2">
        <f t="shared" si="524"/>
        <v>4.45</v>
      </c>
      <c r="T2073" s="2"/>
      <c r="U2073" s="2"/>
      <c r="Y2073" s="8">
        <f t="shared" si="522"/>
        <v>2.8598827898550727</v>
      </c>
    </row>
    <row r="2074" spans="1:25" x14ac:dyDescent="0.25">
      <c r="A2074" s="34">
        <f t="shared" ref="A2074:B2089" si="525">A2073+1</f>
        <v>2055</v>
      </c>
      <c r="B2074" s="34">
        <f t="shared" si="525"/>
        <v>67</v>
      </c>
      <c r="C2074" s="42" t="s">
        <v>562</v>
      </c>
      <c r="D2074" s="43" t="s">
        <v>563</v>
      </c>
      <c r="E2074" s="43"/>
      <c r="F2074" s="65">
        <v>9.06E-2</v>
      </c>
      <c r="G2074" s="65">
        <f t="shared" si="515"/>
        <v>1.7848200000000002E-2</v>
      </c>
      <c r="H2074" s="66">
        <v>2.137E-2</v>
      </c>
      <c r="I2074" s="66">
        <f t="shared" si="516"/>
        <v>3.2055E-3</v>
      </c>
      <c r="J2074" s="32">
        <f t="shared" si="523"/>
        <v>4.7548250000000007E-2</v>
      </c>
      <c r="K2074" s="33">
        <f t="shared" si="518"/>
        <v>7.1322375000000011E-3</v>
      </c>
      <c r="L2074" s="33"/>
      <c r="O2074" s="2">
        <f t="shared" si="519"/>
        <v>8.9041666666666679E-3</v>
      </c>
      <c r="P2074" s="2">
        <f t="shared" si="520"/>
        <v>6.4110000000000005</v>
      </c>
      <c r="Q2074" s="7">
        <f t="shared" si="521"/>
        <v>29.035326086956523</v>
      </c>
      <c r="R2074" s="2">
        <v>1.2</v>
      </c>
      <c r="S2074" s="2">
        <f t="shared" si="524"/>
        <v>4.45</v>
      </c>
      <c r="T2074" s="2"/>
      <c r="U2074" s="2"/>
      <c r="Y2074" s="8">
        <f t="shared" si="522"/>
        <v>1.0336576086956524</v>
      </c>
    </row>
    <row r="2075" spans="1:25" x14ac:dyDescent="0.25">
      <c r="A2075" s="34">
        <f t="shared" si="525"/>
        <v>2056</v>
      </c>
      <c r="B2075" s="34">
        <f t="shared" si="525"/>
        <v>68</v>
      </c>
      <c r="C2075" s="42" t="s">
        <v>564</v>
      </c>
      <c r="D2075" s="43">
        <v>53</v>
      </c>
      <c r="E2075" s="43"/>
      <c r="F2075" s="65">
        <v>0.165406</v>
      </c>
      <c r="G2075" s="65">
        <f t="shared" si="515"/>
        <v>3.2584981999999998E-2</v>
      </c>
      <c r="H2075" s="66">
        <v>1.48E-3</v>
      </c>
      <c r="I2075" s="66">
        <f t="shared" si="516"/>
        <v>2.2199999999999998E-4</v>
      </c>
      <c r="J2075" s="32">
        <f t="shared" si="523"/>
        <v>3.2930000000000004E-3</v>
      </c>
      <c r="K2075" s="33">
        <f t="shared" si="518"/>
        <v>4.9395000000000005E-4</v>
      </c>
      <c r="L2075" s="33"/>
      <c r="O2075" s="2">
        <f t="shared" si="519"/>
        <v>6.1666666666666673E-4</v>
      </c>
      <c r="P2075" s="2">
        <f t="shared" si="520"/>
        <v>0.44400000000000001</v>
      </c>
      <c r="Q2075" s="7">
        <f t="shared" si="521"/>
        <v>2.0108695652173916</v>
      </c>
      <c r="R2075" s="2">
        <v>1.2</v>
      </c>
      <c r="S2075" s="2">
        <f t="shared" si="524"/>
        <v>4.45</v>
      </c>
      <c r="T2075" s="2"/>
      <c r="U2075" s="2"/>
      <c r="Y2075" s="8">
        <f t="shared" si="522"/>
        <v>7.1586956521739131E-2</v>
      </c>
    </row>
    <row r="2076" spans="1:25" x14ac:dyDescent="0.25">
      <c r="A2076" s="34">
        <f t="shared" si="525"/>
        <v>2057</v>
      </c>
      <c r="B2076" s="34">
        <f t="shared" si="525"/>
        <v>69</v>
      </c>
      <c r="C2076" s="42" t="s">
        <v>557</v>
      </c>
      <c r="D2076" s="43" t="s">
        <v>565</v>
      </c>
      <c r="E2076" s="43"/>
      <c r="F2076" s="65">
        <v>0.189</v>
      </c>
      <c r="G2076" s="65">
        <f t="shared" si="515"/>
        <v>3.7233000000000002E-2</v>
      </c>
      <c r="H2076" s="66">
        <v>5.3726000000000003E-2</v>
      </c>
      <c r="I2076" s="66">
        <f t="shared" si="516"/>
        <v>8.0589000000000008E-3</v>
      </c>
      <c r="J2076" s="32">
        <f t="shared" si="523"/>
        <v>0.11954035000000002</v>
      </c>
      <c r="K2076" s="33">
        <f t="shared" si="518"/>
        <v>1.7931052500000003E-2</v>
      </c>
      <c r="L2076" s="33"/>
      <c r="O2076" s="2">
        <f t="shared" si="519"/>
        <v>2.2385833333333334E-2</v>
      </c>
      <c r="P2076" s="2">
        <f t="shared" si="520"/>
        <v>16.117800000000003</v>
      </c>
      <c r="Q2076" s="7">
        <f t="shared" si="521"/>
        <v>72.99728260869567</v>
      </c>
      <c r="R2076" s="2">
        <v>1.2</v>
      </c>
      <c r="S2076" s="2">
        <f t="shared" si="524"/>
        <v>4.45</v>
      </c>
      <c r="T2076" s="2"/>
      <c r="U2076" s="2"/>
      <c r="Y2076" s="8">
        <f t="shared" si="522"/>
        <v>2.5987032608695655</v>
      </c>
    </row>
    <row r="2077" spans="1:25" x14ac:dyDescent="0.25">
      <c r="A2077" s="34">
        <f t="shared" si="525"/>
        <v>2058</v>
      </c>
      <c r="B2077" s="34">
        <f t="shared" si="525"/>
        <v>70</v>
      </c>
      <c r="C2077" s="42" t="s">
        <v>566</v>
      </c>
      <c r="D2077" s="43" t="s">
        <v>29</v>
      </c>
      <c r="E2077" s="43"/>
      <c r="F2077" s="65">
        <v>5.1006999999999997E-2</v>
      </c>
      <c r="G2077" s="65">
        <f t="shared" si="515"/>
        <v>1.0048379E-2</v>
      </c>
      <c r="H2077" s="66">
        <v>0</v>
      </c>
      <c r="I2077" s="66">
        <v>0</v>
      </c>
      <c r="J2077" s="32">
        <f t="shared" si="523"/>
        <v>0</v>
      </c>
      <c r="K2077" s="33">
        <f t="shared" si="518"/>
        <v>0</v>
      </c>
      <c r="L2077" s="33"/>
      <c r="O2077" s="2">
        <f t="shared" si="519"/>
        <v>0</v>
      </c>
      <c r="P2077" s="2">
        <f t="shared" si="520"/>
        <v>0</v>
      </c>
      <c r="Q2077" s="7">
        <f t="shared" si="521"/>
        <v>0</v>
      </c>
      <c r="R2077" s="2">
        <v>1.2</v>
      </c>
      <c r="S2077" s="2">
        <f t="shared" si="524"/>
        <v>4.45</v>
      </c>
      <c r="T2077" s="2"/>
      <c r="U2077" s="2"/>
      <c r="Y2077" s="8">
        <f t="shared" si="522"/>
        <v>0</v>
      </c>
    </row>
    <row r="2078" spans="1:25" x14ac:dyDescent="0.25">
      <c r="A2078" s="34">
        <f t="shared" si="525"/>
        <v>2059</v>
      </c>
      <c r="B2078" s="34">
        <f t="shared" si="525"/>
        <v>71</v>
      </c>
      <c r="C2078" s="42" t="s">
        <v>537</v>
      </c>
      <c r="D2078" s="43" t="s">
        <v>567</v>
      </c>
      <c r="E2078" s="43"/>
      <c r="F2078" s="65">
        <v>5.654E-2</v>
      </c>
      <c r="G2078" s="65">
        <f t="shared" si="515"/>
        <v>1.113838E-2</v>
      </c>
      <c r="H2078" s="66">
        <v>1.9132E-2</v>
      </c>
      <c r="I2078" s="66">
        <f>H2078*0.15</f>
        <v>2.8698E-3</v>
      </c>
      <c r="J2078" s="32">
        <f t="shared" si="523"/>
        <v>4.2568700000000001E-2</v>
      </c>
      <c r="K2078" s="33">
        <f t="shared" si="518"/>
        <v>6.385305E-3</v>
      </c>
      <c r="L2078" s="33"/>
      <c r="O2078" s="2">
        <f t="shared" si="519"/>
        <v>7.9716666666666668E-3</v>
      </c>
      <c r="P2078" s="2">
        <f t="shared" si="520"/>
        <v>5.7395999999999994</v>
      </c>
      <c r="Q2078" s="7">
        <f t="shared" si="521"/>
        <v>25.994565217391301</v>
      </c>
      <c r="R2078" s="2">
        <v>1.2</v>
      </c>
      <c r="S2078" s="2">
        <f t="shared" si="524"/>
        <v>4.45</v>
      </c>
      <c r="T2078" s="2"/>
      <c r="U2078" s="2"/>
      <c r="Y2078" s="8">
        <f t="shared" si="522"/>
        <v>0.92540652173913041</v>
      </c>
    </row>
    <row r="2079" spans="1:25" ht="45" x14ac:dyDescent="0.25">
      <c r="A2079" s="34">
        <f t="shared" si="525"/>
        <v>2060</v>
      </c>
      <c r="B2079" s="34">
        <f t="shared" si="525"/>
        <v>72</v>
      </c>
      <c r="C2079" s="42" t="s">
        <v>568</v>
      </c>
      <c r="D2079" s="43" t="s">
        <v>569</v>
      </c>
      <c r="E2079" s="43"/>
      <c r="F2079" s="65">
        <v>0.17823700000000001</v>
      </c>
      <c r="G2079" s="65">
        <f>F2079*0.197</f>
        <v>3.5112689000000002E-2</v>
      </c>
      <c r="H2079" s="66">
        <v>0.116143</v>
      </c>
      <c r="I2079" s="66">
        <f>H2079*0.15</f>
        <v>1.7421449999999998E-2</v>
      </c>
      <c r="J2079" s="32">
        <f t="shared" si="523"/>
        <v>0.21486455000000002</v>
      </c>
      <c r="K2079" s="33">
        <f t="shared" si="518"/>
        <v>3.2229682500000002E-2</v>
      </c>
      <c r="L2079" s="33"/>
      <c r="O2079" s="2">
        <f t="shared" si="519"/>
        <v>4.8392916666666667E-2</v>
      </c>
      <c r="P2079" s="2">
        <f t="shared" si="520"/>
        <v>34.8429</v>
      </c>
      <c r="Q2079" s="7">
        <f t="shared" si="521"/>
        <v>157.80298913043478</v>
      </c>
      <c r="R2079" s="2">
        <v>1.2</v>
      </c>
      <c r="S2079" s="2">
        <f t="shared" si="524"/>
        <v>3.7</v>
      </c>
      <c r="T2079" s="2"/>
      <c r="U2079" s="2"/>
      <c r="Y2079" s="8">
        <f t="shared" si="522"/>
        <v>4.6709684782608702</v>
      </c>
    </row>
    <row r="2080" spans="1:25" ht="45" x14ac:dyDescent="0.25">
      <c r="A2080" s="34">
        <f t="shared" si="525"/>
        <v>2061</v>
      </c>
      <c r="B2080" s="34">
        <f t="shared" si="525"/>
        <v>73</v>
      </c>
      <c r="C2080" s="42" t="s">
        <v>568</v>
      </c>
      <c r="D2080" s="43" t="s">
        <v>570</v>
      </c>
      <c r="E2080" s="43"/>
      <c r="F2080" s="65">
        <v>0.146899</v>
      </c>
      <c r="G2080" s="65">
        <f>F2080*0.197</f>
        <v>2.8939103000000001E-2</v>
      </c>
      <c r="H2080" s="66">
        <v>3.6068000000000003E-2</v>
      </c>
      <c r="I2080" s="66">
        <f>H2080*0.15</f>
        <v>5.4102000000000004E-3</v>
      </c>
      <c r="J2080" s="32">
        <f t="shared" si="523"/>
        <v>8.0251300000000012E-2</v>
      </c>
      <c r="K2080" s="33">
        <f t="shared" si="518"/>
        <v>1.2037695000000001E-2</v>
      </c>
      <c r="L2080" s="33"/>
      <c r="O2080" s="2">
        <f t="shared" si="519"/>
        <v>1.5028333333333335E-2</v>
      </c>
      <c r="P2080" s="2">
        <f t="shared" si="520"/>
        <v>10.820399999999999</v>
      </c>
      <c r="Q2080" s="7">
        <f t="shared" si="521"/>
        <v>49.005434782608695</v>
      </c>
      <c r="R2080" s="2">
        <v>1.2</v>
      </c>
      <c r="S2080" s="2">
        <f t="shared" si="524"/>
        <v>4.45</v>
      </c>
      <c r="T2080" s="2"/>
      <c r="U2080" s="2"/>
      <c r="Y2080" s="8">
        <f t="shared" si="522"/>
        <v>1.7445934782608696</v>
      </c>
    </row>
    <row r="2081" spans="1:25" x14ac:dyDescent="0.25">
      <c r="A2081" s="70">
        <f t="shared" si="525"/>
        <v>2062</v>
      </c>
      <c r="B2081" s="70">
        <f t="shared" si="525"/>
        <v>74</v>
      </c>
      <c r="C2081" s="71" t="s">
        <v>571</v>
      </c>
      <c r="D2081" s="72"/>
      <c r="E2081" s="72"/>
      <c r="F2081" s="65">
        <v>0.46702500000000002</v>
      </c>
      <c r="G2081" s="65">
        <f>F2081*0.197</f>
        <v>9.2003925000000014E-2</v>
      </c>
      <c r="H2081" s="66">
        <v>0.21049000000000001</v>
      </c>
      <c r="I2081" s="66">
        <f t="shared" ref="I2081:I2144" si="526">H2081*0.15</f>
        <v>3.1573499999999997E-2</v>
      </c>
      <c r="J2081" s="32">
        <f t="shared" si="523"/>
        <v>0.37361975000000003</v>
      </c>
      <c r="K2081" s="33">
        <f t="shared" si="518"/>
        <v>5.6042962500000001E-2</v>
      </c>
      <c r="L2081" s="33"/>
      <c r="O2081" s="2">
        <f t="shared" si="519"/>
        <v>8.770416666666668E-2</v>
      </c>
      <c r="P2081" s="2">
        <f t="shared" si="520"/>
        <v>63.147000000000006</v>
      </c>
      <c r="Q2081" s="7">
        <f t="shared" si="521"/>
        <v>285.991847826087</v>
      </c>
      <c r="R2081" s="2">
        <v>1.2</v>
      </c>
      <c r="S2081" s="2">
        <f t="shared" si="524"/>
        <v>3.55</v>
      </c>
      <c r="T2081" s="2"/>
      <c r="U2081" s="2"/>
      <c r="Y2081" s="8">
        <f t="shared" si="522"/>
        <v>8.1221684782608712</v>
      </c>
    </row>
    <row r="2082" spans="1:25" x14ac:dyDescent="0.25">
      <c r="A2082" s="70">
        <f t="shared" si="525"/>
        <v>2063</v>
      </c>
      <c r="B2082" s="70">
        <f t="shared" si="525"/>
        <v>75</v>
      </c>
      <c r="C2082" s="73" t="s">
        <v>536</v>
      </c>
      <c r="D2082" s="74" t="s">
        <v>572</v>
      </c>
      <c r="E2082" s="74"/>
      <c r="F2082" s="65">
        <v>0.11269999999999999</v>
      </c>
      <c r="G2082" s="65">
        <f t="shared" ref="G2082:G2145" si="527">F2082*0.197</f>
        <v>2.22019E-2</v>
      </c>
      <c r="H2082" s="66">
        <v>3.6798999999999998E-2</v>
      </c>
      <c r="I2082" s="66">
        <f t="shared" si="526"/>
        <v>5.5198499999999998E-3</v>
      </c>
      <c r="J2082" s="32">
        <f t="shared" si="523"/>
        <v>8.1877775E-2</v>
      </c>
      <c r="K2082" s="33">
        <f t="shared" si="518"/>
        <v>1.228166625E-2</v>
      </c>
      <c r="L2082" s="33"/>
      <c r="O2082" s="2">
        <f t="shared" si="519"/>
        <v>1.5332916666666667E-2</v>
      </c>
      <c r="P2082" s="2">
        <f t="shared" si="520"/>
        <v>11.0397</v>
      </c>
      <c r="Q2082" s="7">
        <f t="shared" si="521"/>
        <v>49.998641304347828</v>
      </c>
      <c r="R2082" s="2">
        <v>1.2</v>
      </c>
      <c r="S2082" s="2">
        <f t="shared" si="524"/>
        <v>4.45</v>
      </c>
      <c r="T2082" s="2"/>
      <c r="U2082" s="2"/>
      <c r="Y2082" s="8">
        <f t="shared" si="522"/>
        <v>1.7799516304347827</v>
      </c>
    </row>
    <row r="2083" spans="1:25" x14ac:dyDescent="0.25">
      <c r="A2083" s="70">
        <f t="shared" si="525"/>
        <v>2064</v>
      </c>
      <c r="B2083" s="70">
        <f t="shared" si="525"/>
        <v>76</v>
      </c>
      <c r="C2083" s="42" t="s">
        <v>536</v>
      </c>
      <c r="D2083" s="43" t="s">
        <v>573</v>
      </c>
      <c r="E2083" s="43"/>
      <c r="F2083" s="65">
        <v>0.13203699999999999</v>
      </c>
      <c r="G2083" s="65">
        <f t="shared" si="527"/>
        <v>2.6011289E-2</v>
      </c>
      <c r="H2083" s="66">
        <v>4.7101999999999998E-2</v>
      </c>
      <c r="I2083" s="66">
        <f t="shared" si="526"/>
        <v>7.0652999999999992E-3</v>
      </c>
      <c r="J2083" s="32">
        <f t="shared" si="523"/>
        <v>0.10480195</v>
      </c>
      <c r="K2083" s="33">
        <f t="shared" si="518"/>
        <v>1.57202925E-2</v>
      </c>
      <c r="L2083" s="33"/>
      <c r="O2083" s="2">
        <f t="shared" si="519"/>
        <v>1.9625833333333332E-2</v>
      </c>
      <c r="P2083" s="2">
        <f t="shared" si="520"/>
        <v>14.130599999999999</v>
      </c>
      <c r="Q2083" s="7">
        <f t="shared" si="521"/>
        <v>63.997282608695649</v>
      </c>
      <c r="R2083" s="2">
        <v>1.2</v>
      </c>
      <c r="S2083" s="2">
        <f t="shared" si="524"/>
        <v>4.45</v>
      </c>
      <c r="T2083" s="2"/>
      <c r="U2083" s="2"/>
      <c r="Y2083" s="8">
        <f t="shared" si="522"/>
        <v>2.2783032608695652</v>
      </c>
    </row>
    <row r="2084" spans="1:25" x14ac:dyDescent="0.25">
      <c r="A2084" s="70">
        <f t="shared" si="525"/>
        <v>2065</v>
      </c>
      <c r="B2084" s="70">
        <f t="shared" si="525"/>
        <v>77</v>
      </c>
      <c r="C2084" s="75" t="s">
        <v>574</v>
      </c>
      <c r="D2084" s="28">
        <v>130</v>
      </c>
      <c r="E2084" s="28"/>
      <c r="F2084" s="65">
        <v>0.17499999999999999</v>
      </c>
      <c r="G2084" s="65">
        <f t="shared" si="527"/>
        <v>3.4474999999999999E-2</v>
      </c>
      <c r="H2084" s="66">
        <v>0.1022</v>
      </c>
      <c r="I2084" s="66">
        <f t="shared" si="526"/>
        <v>1.533E-2</v>
      </c>
      <c r="J2084" s="32">
        <f t="shared" si="523"/>
        <v>0.22739500000000001</v>
      </c>
      <c r="K2084" s="33">
        <f t="shared" si="518"/>
        <v>3.4109250000000001E-2</v>
      </c>
      <c r="L2084" s="33"/>
      <c r="O2084" s="2">
        <f t="shared" si="519"/>
        <v>4.2583333333333334E-2</v>
      </c>
      <c r="P2084" s="2">
        <f t="shared" si="520"/>
        <v>30.66</v>
      </c>
      <c r="Q2084" s="7">
        <f t="shared" si="521"/>
        <v>138.85869565217391</v>
      </c>
      <c r="R2084" s="2">
        <v>1.2</v>
      </c>
      <c r="S2084" s="2">
        <f t="shared" si="524"/>
        <v>4.45</v>
      </c>
      <c r="T2084" s="2"/>
      <c r="U2084" s="2"/>
      <c r="Y2084" s="8">
        <f t="shared" si="522"/>
        <v>4.9433695652173917</v>
      </c>
    </row>
    <row r="2085" spans="1:25" x14ac:dyDescent="0.25">
      <c r="A2085" s="70">
        <f t="shared" si="525"/>
        <v>2066</v>
      </c>
      <c r="B2085" s="70">
        <f t="shared" si="525"/>
        <v>78</v>
      </c>
      <c r="C2085" s="76" t="s">
        <v>575</v>
      </c>
      <c r="D2085" s="35" t="s">
        <v>576</v>
      </c>
      <c r="E2085" s="35"/>
      <c r="F2085" s="65">
        <v>2.7338000000000001E-2</v>
      </c>
      <c r="G2085" s="65">
        <f t="shared" si="527"/>
        <v>5.3855860000000004E-3</v>
      </c>
      <c r="H2085" s="66">
        <v>9.5659999999999999E-3</v>
      </c>
      <c r="I2085" s="66">
        <f t="shared" si="526"/>
        <v>1.4349E-3</v>
      </c>
      <c r="J2085" s="32">
        <f t="shared" si="523"/>
        <v>2.128435E-2</v>
      </c>
      <c r="K2085" s="33">
        <f t="shared" si="518"/>
        <v>3.1926525E-3</v>
      </c>
      <c r="L2085" s="33"/>
      <c r="O2085" s="2">
        <f t="shared" si="519"/>
        <v>3.9858333333333334E-3</v>
      </c>
      <c r="P2085" s="2">
        <f t="shared" si="520"/>
        <v>2.8697999999999997</v>
      </c>
      <c r="Q2085" s="7">
        <f t="shared" si="521"/>
        <v>12.997282608695651</v>
      </c>
      <c r="R2085" s="2">
        <v>1.2</v>
      </c>
      <c r="S2085" s="2">
        <f t="shared" si="524"/>
        <v>4.45</v>
      </c>
      <c r="T2085" s="2"/>
      <c r="U2085" s="2"/>
      <c r="Y2085" s="8">
        <f t="shared" si="522"/>
        <v>0.4627032608695652</v>
      </c>
    </row>
    <row r="2086" spans="1:25" x14ac:dyDescent="0.25">
      <c r="A2086" s="70">
        <f t="shared" si="525"/>
        <v>2067</v>
      </c>
      <c r="B2086" s="77">
        <f t="shared" si="525"/>
        <v>79</v>
      </c>
      <c r="C2086" s="76" t="s">
        <v>575</v>
      </c>
      <c r="D2086" s="78">
        <v>46</v>
      </c>
      <c r="E2086" s="78"/>
      <c r="F2086" s="65">
        <v>4.2605999999999998E-2</v>
      </c>
      <c r="G2086" s="65">
        <f t="shared" si="527"/>
        <v>8.3933819999999996E-3</v>
      </c>
      <c r="H2086" s="66">
        <v>9.5659999999999999E-3</v>
      </c>
      <c r="I2086" s="66">
        <f t="shared" si="526"/>
        <v>1.4349E-3</v>
      </c>
      <c r="J2086" s="32">
        <f t="shared" si="523"/>
        <v>2.128435E-2</v>
      </c>
      <c r="K2086" s="33">
        <f t="shared" si="518"/>
        <v>3.1926525E-3</v>
      </c>
      <c r="L2086" s="24" t="s">
        <v>16</v>
      </c>
      <c r="O2086" s="2">
        <f t="shared" si="519"/>
        <v>3.9858333333333334E-3</v>
      </c>
      <c r="P2086" s="2">
        <f t="shared" si="520"/>
        <v>2.8697999999999997</v>
      </c>
      <c r="Q2086" s="7">
        <f t="shared" si="521"/>
        <v>12.997282608695651</v>
      </c>
      <c r="R2086" s="2">
        <v>1.2</v>
      </c>
      <c r="S2086" s="2">
        <f t="shared" si="524"/>
        <v>4.45</v>
      </c>
      <c r="T2086" s="2"/>
      <c r="U2086" s="2"/>
      <c r="Y2086" s="8">
        <f t="shared" si="522"/>
        <v>0.4627032608695652</v>
      </c>
    </row>
    <row r="2087" spans="1:25" x14ac:dyDescent="0.25">
      <c r="A2087" s="70">
        <f t="shared" si="525"/>
        <v>2068</v>
      </c>
      <c r="B2087" s="77">
        <f t="shared" si="525"/>
        <v>80</v>
      </c>
      <c r="C2087" s="79" t="s">
        <v>577</v>
      </c>
      <c r="D2087" s="80" t="s">
        <v>103</v>
      </c>
      <c r="E2087" s="80"/>
      <c r="F2087" s="65">
        <v>0.12022000000000002</v>
      </c>
      <c r="G2087" s="65">
        <f t="shared" si="527"/>
        <v>2.3683340000000004E-2</v>
      </c>
      <c r="H2087" s="66">
        <v>4.5598E-2</v>
      </c>
      <c r="I2087" s="66">
        <f t="shared" si="526"/>
        <v>6.8396999999999998E-3</v>
      </c>
      <c r="J2087" s="32">
        <f t="shared" si="523"/>
        <v>0.10145555000000001</v>
      </c>
      <c r="K2087" s="33">
        <f t="shared" si="518"/>
        <v>1.5218332500000001E-2</v>
      </c>
      <c r="L2087" s="52"/>
      <c r="O2087" s="2">
        <f t="shared" si="519"/>
        <v>1.8999166666666668E-2</v>
      </c>
      <c r="P2087" s="2">
        <f t="shared" si="520"/>
        <v>13.679400000000001</v>
      </c>
      <c r="Q2087" s="7">
        <f t="shared" si="521"/>
        <v>61.953804347826093</v>
      </c>
      <c r="R2087" s="2">
        <v>1.2</v>
      </c>
      <c r="S2087" s="2">
        <f t="shared" si="524"/>
        <v>4.45</v>
      </c>
      <c r="T2087" s="2"/>
      <c r="U2087" s="2"/>
      <c r="Y2087" s="8">
        <f t="shared" si="522"/>
        <v>2.205555434782609</v>
      </c>
    </row>
    <row r="2088" spans="1:25" x14ac:dyDescent="0.25">
      <c r="A2088" s="70">
        <f t="shared" si="525"/>
        <v>2069</v>
      </c>
      <c r="B2088" s="77">
        <f t="shared" si="525"/>
        <v>81</v>
      </c>
      <c r="C2088" s="79" t="s">
        <v>577</v>
      </c>
      <c r="D2088" s="80" t="s">
        <v>578</v>
      </c>
      <c r="E2088" s="80"/>
      <c r="F2088" s="65">
        <v>7.1169999999999997E-2</v>
      </c>
      <c r="G2088" s="65">
        <f t="shared" si="527"/>
        <v>1.402049E-2</v>
      </c>
      <c r="H2088" s="66">
        <v>3.0179999999999998E-2</v>
      </c>
      <c r="I2088" s="66">
        <f t="shared" si="526"/>
        <v>4.5269999999999998E-3</v>
      </c>
      <c r="J2088" s="32">
        <f t="shared" si="523"/>
        <v>6.7150500000000002E-2</v>
      </c>
      <c r="K2088" s="33">
        <f t="shared" si="518"/>
        <v>1.0072575E-2</v>
      </c>
      <c r="L2088" s="52"/>
      <c r="O2088" s="2">
        <f t="shared" si="519"/>
        <v>1.2574999999999999E-2</v>
      </c>
      <c r="P2088" s="2">
        <f t="shared" si="520"/>
        <v>9.0539999999999985</v>
      </c>
      <c r="Q2088" s="7">
        <f t="shared" si="521"/>
        <v>41.005434782608688</v>
      </c>
      <c r="R2088" s="2">
        <v>1.2</v>
      </c>
      <c r="S2088" s="2">
        <f t="shared" si="524"/>
        <v>4.45</v>
      </c>
      <c r="T2088" s="2"/>
      <c r="U2088" s="2"/>
      <c r="Y2088" s="8">
        <f t="shared" si="522"/>
        <v>1.4597934782608695</v>
      </c>
    </row>
    <row r="2089" spans="1:25" x14ac:dyDescent="0.25">
      <c r="A2089" s="81">
        <f t="shared" si="525"/>
        <v>2070</v>
      </c>
      <c r="B2089" s="77">
        <f t="shared" si="525"/>
        <v>82</v>
      </c>
      <c r="C2089" s="79" t="s">
        <v>577</v>
      </c>
      <c r="D2089" s="80" t="s">
        <v>104</v>
      </c>
      <c r="E2089" s="80"/>
      <c r="F2089" s="65">
        <v>0.13388</v>
      </c>
      <c r="G2089" s="65">
        <f t="shared" si="527"/>
        <v>2.6374359999999999E-2</v>
      </c>
      <c r="H2089" s="66">
        <v>0.13272800000000001</v>
      </c>
      <c r="I2089" s="66">
        <f t="shared" si="526"/>
        <v>1.9909200000000002E-2</v>
      </c>
      <c r="J2089" s="32">
        <f t="shared" si="523"/>
        <v>0.24554680000000004</v>
      </c>
      <c r="K2089" s="33">
        <f t="shared" si="518"/>
        <v>3.6832020000000007E-2</v>
      </c>
      <c r="L2089" s="52"/>
      <c r="O2089" s="2">
        <f t="shared" si="519"/>
        <v>5.5303333333333343E-2</v>
      </c>
      <c r="P2089" s="2">
        <f t="shared" si="520"/>
        <v>39.818400000000004</v>
      </c>
      <c r="Q2089" s="7">
        <f t="shared" si="521"/>
        <v>180.33695652173915</v>
      </c>
      <c r="R2089" s="2">
        <v>1.2</v>
      </c>
      <c r="S2089" s="2">
        <f t="shared" si="524"/>
        <v>3.7</v>
      </c>
      <c r="T2089" s="2"/>
      <c r="U2089" s="2"/>
      <c r="Y2089" s="8">
        <f t="shared" si="522"/>
        <v>5.3379739130434789</v>
      </c>
    </row>
    <row r="2090" spans="1:25" x14ac:dyDescent="0.25">
      <c r="A2090" s="81">
        <f t="shared" ref="A2090:B2105" si="528">A2089+1</f>
        <v>2071</v>
      </c>
      <c r="B2090" s="77">
        <f t="shared" si="528"/>
        <v>83</v>
      </c>
      <c r="C2090" s="79" t="s">
        <v>577</v>
      </c>
      <c r="D2090" s="80" t="s">
        <v>65</v>
      </c>
      <c r="E2090" s="80"/>
      <c r="F2090" s="65">
        <v>8.9609999999999995E-2</v>
      </c>
      <c r="G2090" s="65">
        <f t="shared" si="527"/>
        <v>1.7653169999999999E-2</v>
      </c>
      <c r="H2090" s="66">
        <v>3.1809999999999998E-2</v>
      </c>
      <c r="I2090" s="66">
        <f t="shared" si="526"/>
        <v>4.7714999999999997E-3</v>
      </c>
      <c r="J2090" s="32">
        <f t="shared" si="523"/>
        <v>7.077725E-2</v>
      </c>
      <c r="K2090" s="33">
        <f t="shared" si="518"/>
        <v>1.06165875E-2</v>
      </c>
      <c r="L2090" s="24" t="s">
        <v>16</v>
      </c>
      <c r="O2090" s="2">
        <f t="shared" si="519"/>
        <v>1.3254166666666666E-2</v>
      </c>
      <c r="P2090" s="2">
        <f t="shared" si="520"/>
        <v>9.5429999999999993</v>
      </c>
      <c r="Q2090" s="7">
        <f t="shared" si="521"/>
        <v>43.220108695652172</v>
      </c>
      <c r="R2090" s="2">
        <v>1.2</v>
      </c>
      <c r="S2090" s="2">
        <f t="shared" si="524"/>
        <v>4.45</v>
      </c>
      <c r="T2090" s="2"/>
      <c r="U2090" s="2"/>
      <c r="Y2090" s="8">
        <f t="shared" si="522"/>
        <v>1.5386358695652174</v>
      </c>
    </row>
    <row r="2091" spans="1:25" x14ac:dyDescent="0.25">
      <c r="A2091" s="81">
        <f t="shared" si="528"/>
        <v>2072</v>
      </c>
      <c r="B2091" s="77">
        <f t="shared" si="528"/>
        <v>84</v>
      </c>
      <c r="C2091" s="79" t="s">
        <v>577</v>
      </c>
      <c r="D2091" s="80" t="s">
        <v>67</v>
      </c>
      <c r="E2091" s="80"/>
      <c r="F2091" s="65">
        <v>9.1410000000000005E-2</v>
      </c>
      <c r="G2091" s="65">
        <f t="shared" si="527"/>
        <v>1.8007770000000003E-2</v>
      </c>
      <c r="H2091" s="66">
        <v>3.3692E-2</v>
      </c>
      <c r="I2091" s="66">
        <f t="shared" si="526"/>
        <v>5.0537999999999998E-3</v>
      </c>
      <c r="J2091" s="32">
        <f t="shared" si="523"/>
        <v>7.4964700000000009E-2</v>
      </c>
      <c r="K2091" s="33">
        <f t="shared" si="518"/>
        <v>1.1244705000000001E-2</v>
      </c>
      <c r="L2091" s="24" t="s">
        <v>16</v>
      </c>
      <c r="O2091" s="2">
        <f t="shared" si="519"/>
        <v>1.4038333333333333E-2</v>
      </c>
      <c r="P2091" s="2">
        <f t="shared" si="520"/>
        <v>10.1076</v>
      </c>
      <c r="Q2091" s="7">
        <f t="shared" si="521"/>
        <v>45.777173913043477</v>
      </c>
      <c r="R2091" s="2">
        <v>1.2</v>
      </c>
      <c r="S2091" s="2">
        <f t="shared" si="524"/>
        <v>4.45</v>
      </c>
      <c r="T2091" s="2"/>
      <c r="U2091" s="2"/>
      <c r="Y2091" s="8">
        <f t="shared" si="522"/>
        <v>1.629667391304348</v>
      </c>
    </row>
    <row r="2092" spans="1:25" x14ac:dyDescent="0.25">
      <c r="A2092" s="81">
        <f t="shared" si="528"/>
        <v>2073</v>
      </c>
      <c r="B2092" s="77">
        <f t="shared" si="528"/>
        <v>85</v>
      </c>
      <c r="C2092" s="79" t="s">
        <v>383</v>
      </c>
      <c r="D2092" s="80">
        <v>138</v>
      </c>
      <c r="E2092" s="80"/>
      <c r="F2092" s="65">
        <v>0.17499999999999999</v>
      </c>
      <c r="G2092" s="65">
        <f t="shared" si="527"/>
        <v>3.4474999999999999E-2</v>
      </c>
      <c r="H2092" s="66">
        <v>6.6000000000000003E-2</v>
      </c>
      <c r="I2092" s="66">
        <f t="shared" si="526"/>
        <v>9.9000000000000008E-3</v>
      </c>
      <c r="J2092" s="32">
        <f t="shared" si="523"/>
        <v>0.14685000000000001</v>
      </c>
      <c r="K2092" s="33">
        <f t="shared" si="518"/>
        <v>2.2027500000000002E-2</v>
      </c>
      <c r="L2092" s="52"/>
      <c r="O2092" s="2">
        <f t="shared" si="519"/>
        <v>2.7500000000000004E-2</v>
      </c>
      <c r="P2092" s="2">
        <f t="shared" si="520"/>
        <v>19.800000000000004</v>
      </c>
      <c r="Q2092" s="7">
        <f t="shared" si="521"/>
        <v>89.673913043478279</v>
      </c>
      <c r="R2092" s="2">
        <v>1.2</v>
      </c>
      <c r="S2092" s="2">
        <f t="shared" si="524"/>
        <v>4.45</v>
      </c>
      <c r="T2092" s="2"/>
      <c r="U2092" s="2"/>
      <c r="Y2092" s="8">
        <f t="shared" si="522"/>
        <v>3.1923913043478263</v>
      </c>
    </row>
    <row r="2093" spans="1:25" x14ac:dyDescent="0.25">
      <c r="A2093" s="81">
        <f t="shared" si="528"/>
        <v>2074</v>
      </c>
      <c r="B2093" s="77">
        <f t="shared" si="528"/>
        <v>86</v>
      </c>
      <c r="C2093" s="79" t="s">
        <v>579</v>
      </c>
      <c r="D2093" s="80">
        <v>2</v>
      </c>
      <c r="E2093" s="80"/>
      <c r="F2093" s="65">
        <v>0.10064999999999999</v>
      </c>
      <c r="G2093" s="65">
        <f t="shared" si="527"/>
        <v>1.982805E-2</v>
      </c>
      <c r="H2093" s="66">
        <v>4.6790999999999999E-2</v>
      </c>
      <c r="I2093" s="66">
        <f>H2093*0.15</f>
        <v>7.0186499999999995E-3</v>
      </c>
      <c r="J2093" s="32">
        <f t="shared" si="523"/>
        <v>0.10410997500000001</v>
      </c>
      <c r="K2093" s="33">
        <f t="shared" si="518"/>
        <v>1.561649625E-2</v>
      </c>
      <c r="L2093" s="52"/>
      <c r="O2093" s="2">
        <f t="shared" si="519"/>
        <v>1.949625E-2</v>
      </c>
      <c r="P2093" s="2">
        <f t="shared" si="520"/>
        <v>14.0373</v>
      </c>
      <c r="Q2093" s="7">
        <f t="shared" si="521"/>
        <v>63.57472826086957</v>
      </c>
      <c r="R2093" s="2">
        <v>1.2</v>
      </c>
      <c r="S2093" s="2">
        <f t="shared" si="524"/>
        <v>4.45</v>
      </c>
      <c r="T2093" s="2"/>
      <c r="U2093" s="2"/>
      <c r="Y2093" s="8">
        <f t="shared" si="522"/>
        <v>2.2632603260869564</v>
      </c>
    </row>
    <row r="2094" spans="1:25" x14ac:dyDescent="0.25">
      <c r="A2094" s="81">
        <f t="shared" si="528"/>
        <v>2075</v>
      </c>
      <c r="B2094" s="77">
        <f t="shared" si="528"/>
        <v>87</v>
      </c>
      <c r="C2094" s="79" t="s">
        <v>579</v>
      </c>
      <c r="D2094" s="80" t="s">
        <v>144</v>
      </c>
      <c r="E2094" s="80"/>
      <c r="F2094" s="65">
        <v>5.7723999999999998E-2</v>
      </c>
      <c r="G2094" s="65">
        <f t="shared" si="527"/>
        <v>1.1371628E-2</v>
      </c>
      <c r="H2094" s="66">
        <v>1.9873999999999999E-2</v>
      </c>
      <c r="I2094" s="66">
        <f t="shared" si="526"/>
        <v>2.9811E-3</v>
      </c>
      <c r="J2094" s="32">
        <f t="shared" si="523"/>
        <v>4.4219649999999999E-2</v>
      </c>
      <c r="K2094" s="33">
        <f t="shared" si="518"/>
        <v>6.6329474999999999E-3</v>
      </c>
      <c r="L2094" s="24" t="s">
        <v>16</v>
      </c>
      <c r="O2094" s="2">
        <f t="shared" si="519"/>
        <v>8.2808333333333328E-3</v>
      </c>
      <c r="P2094" s="2">
        <f t="shared" si="520"/>
        <v>5.9621999999999993</v>
      </c>
      <c r="Q2094" s="7">
        <f t="shared" si="521"/>
        <v>27.002717391304344</v>
      </c>
      <c r="R2094" s="2">
        <v>1.2</v>
      </c>
      <c r="S2094" s="2">
        <f t="shared" si="524"/>
        <v>4.45</v>
      </c>
      <c r="T2094" s="2"/>
      <c r="U2094" s="2"/>
      <c r="Y2094" s="8">
        <f t="shared" si="522"/>
        <v>0.96129673913043479</v>
      </c>
    </row>
    <row r="2095" spans="1:25" x14ac:dyDescent="0.25">
      <c r="A2095" s="81">
        <f t="shared" si="528"/>
        <v>2076</v>
      </c>
      <c r="B2095" s="77">
        <f t="shared" si="528"/>
        <v>88</v>
      </c>
      <c r="C2095" s="79" t="s">
        <v>579</v>
      </c>
      <c r="D2095" s="80">
        <v>4</v>
      </c>
      <c r="E2095" s="80"/>
      <c r="F2095" s="65">
        <v>5.7430000000000002E-2</v>
      </c>
      <c r="G2095" s="65">
        <f t="shared" si="527"/>
        <v>1.1313710000000001E-2</v>
      </c>
      <c r="H2095" s="66">
        <v>1.3979999999999999E-2</v>
      </c>
      <c r="I2095" s="66">
        <f t="shared" si="526"/>
        <v>2.0969999999999999E-3</v>
      </c>
      <c r="J2095" s="32">
        <f t="shared" si="523"/>
        <v>3.1105500000000005E-2</v>
      </c>
      <c r="K2095" s="33">
        <f t="shared" si="518"/>
        <v>4.6658250000000002E-3</v>
      </c>
      <c r="L2095" s="24" t="s">
        <v>16</v>
      </c>
      <c r="O2095" s="2">
        <f t="shared" si="519"/>
        <v>5.8250000000000003E-3</v>
      </c>
      <c r="P2095" s="2">
        <f t="shared" si="520"/>
        <v>4.194</v>
      </c>
      <c r="Q2095" s="7">
        <f t="shared" si="521"/>
        <v>18.994565217391305</v>
      </c>
      <c r="R2095" s="2">
        <v>1.2</v>
      </c>
      <c r="S2095" s="2">
        <f t="shared" si="524"/>
        <v>4.45</v>
      </c>
      <c r="T2095" s="2"/>
      <c r="U2095" s="2"/>
      <c r="Y2095" s="8">
        <f t="shared" si="522"/>
        <v>0.67620652173913054</v>
      </c>
    </row>
    <row r="2096" spans="1:25" x14ac:dyDescent="0.25">
      <c r="A2096" s="81">
        <f t="shared" si="528"/>
        <v>2077</v>
      </c>
      <c r="B2096" s="77">
        <f t="shared" si="528"/>
        <v>89</v>
      </c>
      <c r="C2096" s="79" t="s">
        <v>579</v>
      </c>
      <c r="D2096" s="80" t="s">
        <v>26</v>
      </c>
      <c r="E2096" s="80"/>
      <c r="F2096" s="65">
        <v>9.9472000000000005E-2</v>
      </c>
      <c r="G2096" s="65">
        <f t="shared" si="527"/>
        <v>1.9595984E-2</v>
      </c>
      <c r="H2096" s="66">
        <v>3.9007E-2</v>
      </c>
      <c r="I2096" s="66">
        <f t="shared" si="526"/>
        <v>5.85105E-3</v>
      </c>
      <c r="J2096" s="32">
        <f t="shared" si="523"/>
        <v>8.6790575000000023E-2</v>
      </c>
      <c r="K2096" s="33">
        <f t="shared" si="518"/>
        <v>1.3018586250000004E-2</v>
      </c>
      <c r="L2096" s="24" t="s">
        <v>16</v>
      </c>
      <c r="O2096" s="2">
        <f t="shared" si="519"/>
        <v>1.6252916666666669E-2</v>
      </c>
      <c r="P2096" s="2">
        <f t="shared" si="520"/>
        <v>11.702100000000002</v>
      </c>
      <c r="Q2096" s="7">
        <f t="shared" si="521"/>
        <v>52.998641304347835</v>
      </c>
      <c r="R2096" s="2">
        <v>1.2</v>
      </c>
      <c r="S2096" s="2">
        <f t="shared" si="524"/>
        <v>4.45</v>
      </c>
      <c r="T2096" s="2"/>
      <c r="U2096" s="2"/>
      <c r="Y2096" s="8">
        <f t="shared" si="522"/>
        <v>1.8867516304347831</v>
      </c>
    </row>
    <row r="2097" spans="1:25" x14ac:dyDescent="0.25">
      <c r="A2097" s="81">
        <f t="shared" si="528"/>
        <v>2078</v>
      </c>
      <c r="B2097" s="77">
        <f t="shared" si="528"/>
        <v>90</v>
      </c>
      <c r="C2097" s="79" t="s">
        <v>579</v>
      </c>
      <c r="D2097" s="80">
        <v>6</v>
      </c>
      <c r="E2097" s="80"/>
      <c r="F2097" s="65">
        <v>6.0740000000000002E-2</v>
      </c>
      <c r="G2097" s="65">
        <f t="shared" si="527"/>
        <v>1.1965780000000001E-2</v>
      </c>
      <c r="H2097" s="66">
        <v>1.7184999999999999E-2</v>
      </c>
      <c r="I2097" s="66">
        <f t="shared" si="526"/>
        <v>2.5777499999999997E-3</v>
      </c>
      <c r="J2097" s="32">
        <f t="shared" si="523"/>
        <v>3.8236624999999996E-2</v>
      </c>
      <c r="K2097" s="33">
        <f t="shared" si="518"/>
        <v>5.7354937499999991E-3</v>
      </c>
      <c r="L2097" s="24" t="s">
        <v>16</v>
      </c>
      <c r="O2097" s="2">
        <f t="shared" si="519"/>
        <v>7.1604166666666665E-3</v>
      </c>
      <c r="P2097" s="2">
        <f t="shared" si="520"/>
        <v>5.1555</v>
      </c>
      <c r="Q2097" s="7">
        <f t="shared" si="521"/>
        <v>23.349184782608695</v>
      </c>
      <c r="R2097" s="2">
        <v>1.2</v>
      </c>
      <c r="S2097" s="2">
        <f t="shared" si="524"/>
        <v>4.45</v>
      </c>
      <c r="T2097" s="2"/>
      <c r="U2097" s="2"/>
      <c r="Y2097" s="8">
        <f t="shared" si="522"/>
        <v>0.83123097826086956</v>
      </c>
    </row>
    <row r="2098" spans="1:25" x14ac:dyDescent="0.25">
      <c r="A2098" s="81">
        <f t="shared" si="528"/>
        <v>2079</v>
      </c>
      <c r="B2098" s="77">
        <f t="shared" si="528"/>
        <v>91</v>
      </c>
      <c r="C2098" s="79" t="s">
        <v>579</v>
      </c>
      <c r="D2098" s="80">
        <v>8</v>
      </c>
      <c r="E2098" s="80"/>
      <c r="F2098" s="65">
        <v>5.7620999999999999E-2</v>
      </c>
      <c r="G2098" s="65">
        <f t="shared" si="527"/>
        <v>1.1351337E-2</v>
      </c>
      <c r="H2098" s="66">
        <v>2.0605999999999999E-2</v>
      </c>
      <c r="I2098" s="66">
        <f t="shared" si="526"/>
        <v>3.0908999999999997E-3</v>
      </c>
      <c r="J2098" s="32">
        <f t="shared" si="523"/>
        <v>4.584835000000001E-2</v>
      </c>
      <c r="K2098" s="33">
        <f t="shared" si="518"/>
        <v>6.877252500000001E-3</v>
      </c>
      <c r="L2098" s="24" t="s">
        <v>16</v>
      </c>
      <c r="O2098" s="2">
        <f t="shared" si="519"/>
        <v>8.5858333333333342E-3</v>
      </c>
      <c r="P2098" s="2">
        <f t="shared" si="520"/>
        <v>6.1818000000000008</v>
      </c>
      <c r="Q2098" s="7">
        <f t="shared" si="521"/>
        <v>27.997282608695656</v>
      </c>
      <c r="R2098" s="2">
        <v>1.2</v>
      </c>
      <c r="S2098" s="2">
        <f t="shared" si="524"/>
        <v>4.45</v>
      </c>
      <c r="T2098" s="2"/>
      <c r="U2098" s="2"/>
      <c r="Y2098" s="8">
        <f t="shared" si="522"/>
        <v>0.9967032608695654</v>
      </c>
    </row>
    <row r="2099" spans="1:25" x14ac:dyDescent="0.25">
      <c r="A2099" s="81">
        <f t="shared" si="528"/>
        <v>2080</v>
      </c>
      <c r="B2099" s="77">
        <f t="shared" si="528"/>
        <v>92</v>
      </c>
      <c r="C2099" s="79" t="s">
        <v>579</v>
      </c>
      <c r="D2099" s="80">
        <v>10</v>
      </c>
      <c r="E2099" s="80"/>
      <c r="F2099" s="65">
        <v>9.962E-2</v>
      </c>
      <c r="G2099" s="65">
        <f t="shared" si="527"/>
        <v>1.9625139999999999E-2</v>
      </c>
      <c r="H2099" s="66">
        <v>4.0152E-2</v>
      </c>
      <c r="I2099" s="66">
        <f t="shared" si="526"/>
        <v>6.0228E-3</v>
      </c>
      <c r="J2099" s="32">
        <f t="shared" si="523"/>
        <v>8.9338200000000006E-2</v>
      </c>
      <c r="K2099" s="33">
        <f t="shared" si="518"/>
        <v>1.3400730000000001E-2</v>
      </c>
      <c r="L2099" s="24" t="s">
        <v>16</v>
      </c>
      <c r="O2099" s="2">
        <f t="shared" si="519"/>
        <v>1.6730000000000002E-2</v>
      </c>
      <c r="P2099" s="2">
        <f t="shared" si="520"/>
        <v>12.045600000000002</v>
      </c>
      <c r="Q2099" s="7">
        <f t="shared" si="521"/>
        <v>54.554347826086968</v>
      </c>
      <c r="R2099" s="2">
        <v>1.2</v>
      </c>
      <c r="S2099" s="2">
        <f t="shared" si="524"/>
        <v>4.45</v>
      </c>
      <c r="T2099" s="2"/>
      <c r="U2099" s="2"/>
      <c r="Y2099" s="8">
        <f t="shared" si="522"/>
        <v>1.9421347826086959</v>
      </c>
    </row>
    <row r="2100" spans="1:25" x14ac:dyDescent="0.25">
      <c r="A2100" s="81">
        <f t="shared" si="528"/>
        <v>2081</v>
      </c>
      <c r="B2100" s="77">
        <f t="shared" si="528"/>
        <v>93</v>
      </c>
      <c r="C2100" s="79" t="s">
        <v>579</v>
      </c>
      <c r="D2100" s="80">
        <v>12</v>
      </c>
      <c r="E2100" s="80"/>
      <c r="F2100" s="65">
        <v>6.0220000000000003E-2</v>
      </c>
      <c r="G2100" s="65">
        <f t="shared" si="527"/>
        <v>1.1863340000000002E-2</v>
      </c>
      <c r="H2100" s="66">
        <v>2.332E-2</v>
      </c>
      <c r="I2100" s="66">
        <f t="shared" si="526"/>
        <v>3.4979999999999998E-3</v>
      </c>
      <c r="J2100" s="32">
        <f t="shared" si="523"/>
        <v>5.1887000000000003E-2</v>
      </c>
      <c r="K2100" s="33">
        <f t="shared" si="518"/>
        <v>7.7830499999999997E-3</v>
      </c>
      <c r="L2100" s="24" t="s">
        <v>16</v>
      </c>
      <c r="O2100" s="2">
        <f t="shared" si="519"/>
        <v>9.7166666666666669E-3</v>
      </c>
      <c r="P2100" s="2">
        <f t="shared" si="520"/>
        <v>6.9960000000000004</v>
      </c>
      <c r="Q2100" s="7">
        <f t="shared" si="521"/>
        <v>31.684782608695656</v>
      </c>
      <c r="R2100" s="2">
        <v>1.2</v>
      </c>
      <c r="S2100" s="2">
        <f t="shared" si="524"/>
        <v>4.45</v>
      </c>
      <c r="T2100" s="2"/>
      <c r="U2100" s="2"/>
      <c r="Y2100" s="8">
        <f t="shared" si="522"/>
        <v>1.1279782608695652</v>
      </c>
    </row>
    <row r="2101" spans="1:25" x14ac:dyDescent="0.25">
      <c r="A2101" s="81">
        <f t="shared" si="528"/>
        <v>2082</v>
      </c>
      <c r="B2101" s="77">
        <f t="shared" si="528"/>
        <v>94</v>
      </c>
      <c r="C2101" s="79" t="s">
        <v>579</v>
      </c>
      <c r="D2101" s="80">
        <v>16</v>
      </c>
      <c r="E2101" s="80"/>
      <c r="F2101" s="65">
        <v>7.9210000000000003E-2</v>
      </c>
      <c r="G2101" s="65">
        <f t="shared" si="527"/>
        <v>1.5604370000000001E-2</v>
      </c>
      <c r="H2101" s="66">
        <v>7.0655999999999997E-2</v>
      </c>
      <c r="I2101" s="66">
        <f t="shared" si="526"/>
        <v>1.0598399999999999E-2</v>
      </c>
      <c r="J2101" s="32">
        <f t="shared" si="523"/>
        <v>0.1572096</v>
      </c>
      <c r="K2101" s="33">
        <f t="shared" si="518"/>
        <v>2.3581439999999999E-2</v>
      </c>
      <c r="L2101" s="24" t="s">
        <v>16</v>
      </c>
      <c r="O2101" s="2">
        <f t="shared" si="519"/>
        <v>2.9440000000000001E-2</v>
      </c>
      <c r="P2101" s="2">
        <f t="shared" si="520"/>
        <v>21.196800000000003</v>
      </c>
      <c r="Q2101" s="7">
        <f t="shared" si="521"/>
        <v>96.000000000000014</v>
      </c>
      <c r="R2101" s="2">
        <v>1.2</v>
      </c>
      <c r="S2101" s="2">
        <f t="shared" si="524"/>
        <v>4.45</v>
      </c>
      <c r="T2101" s="2"/>
      <c r="U2101" s="2"/>
      <c r="Y2101" s="8">
        <f t="shared" si="522"/>
        <v>3.4176000000000002</v>
      </c>
    </row>
    <row r="2102" spans="1:25" x14ac:dyDescent="0.25">
      <c r="A2102" s="81">
        <f t="shared" si="528"/>
        <v>2083</v>
      </c>
      <c r="B2102" s="77">
        <f t="shared" si="528"/>
        <v>95</v>
      </c>
      <c r="C2102" s="79" t="s">
        <v>580</v>
      </c>
      <c r="D2102" s="80" t="s">
        <v>581</v>
      </c>
      <c r="E2102" s="80"/>
      <c r="F2102" s="65">
        <v>0.27500000000000002</v>
      </c>
      <c r="G2102" s="65">
        <f t="shared" si="527"/>
        <v>5.4175000000000008E-2</v>
      </c>
      <c r="H2102" s="66">
        <v>8.8200000000000001E-2</v>
      </c>
      <c r="I2102" s="66">
        <f t="shared" si="526"/>
        <v>1.323E-2</v>
      </c>
      <c r="J2102" s="32">
        <f t="shared" si="523"/>
        <v>0.19624500000000003</v>
      </c>
      <c r="K2102" s="33">
        <f t="shared" si="518"/>
        <v>2.9436750000000005E-2</v>
      </c>
      <c r="L2102" s="24" t="s">
        <v>16</v>
      </c>
      <c r="O2102" s="2">
        <f t="shared" si="519"/>
        <v>3.6750000000000005E-2</v>
      </c>
      <c r="P2102" s="2">
        <f t="shared" si="520"/>
        <v>26.460000000000004</v>
      </c>
      <c r="Q2102" s="7">
        <f t="shared" si="521"/>
        <v>119.83695652173915</v>
      </c>
      <c r="R2102" s="2">
        <v>1.2</v>
      </c>
      <c r="S2102" s="2">
        <f t="shared" si="524"/>
        <v>4.45</v>
      </c>
      <c r="T2102" s="2"/>
      <c r="U2102" s="2"/>
      <c r="Y2102" s="8">
        <f t="shared" si="522"/>
        <v>4.2661956521739137</v>
      </c>
    </row>
    <row r="2103" spans="1:25" x14ac:dyDescent="0.25">
      <c r="A2103" s="81">
        <f t="shared" si="528"/>
        <v>2084</v>
      </c>
      <c r="B2103" s="77">
        <f t="shared" si="528"/>
        <v>96</v>
      </c>
      <c r="C2103" s="79" t="s">
        <v>582</v>
      </c>
      <c r="D2103" s="80">
        <v>27</v>
      </c>
      <c r="E2103" s="80"/>
      <c r="F2103" s="65">
        <v>4.7E-2</v>
      </c>
      <c r="G2103" s="65">
        <f t="shared" si="527"/>
        <v>9.2589999999999999E-3</v>
      </c>
      <c r="H2103" s="66">
        <v>8.0000000000000002E-3</v>
      </c>
      <c r="I2103" s="66">
        <f t="shared" si="526"/>
        <v>1.1999999999999999E-3</v>
      </c>
      <c r="J2103" s="32">
        <f t="shared" si="523"/>
        <v>1.78E-2</v>
      </c>
      <c r="K2103" s="33">
        <f t="shared" si="518"/>
        <v>2.6700000000000001E-3</v>
      </c>
      <c r="L2103" s="52"/>
      <c r="O2103" s="2">
        <f t="shared" si="519"/>
        <v>3.3333333333333335E-3</v>
      </c>
      <c r="P2103" s="2">
        <f t="shared" si="520"/>
        <v>2.4</v>
      </c>
      <c r="Q2103" s="7">
        <f t="shared" si="521"/>
        <v>10.869565217391305</v>
      </c>
      <c r="R2103" s="2">
        <v>1.2</v>
      </c>
      <c r="S2103" s="2">
        <f t="shared" si="524"/>
        <v>4.45</v>
      </c>
      <c r="T2103" s="2"/>
      <c r="U2103" s="2"/>
      <c r="Y2103" s="8">
        <f t="shared" si="522"/>
        <v>0.38695652173913048</v>
      </c>
    </row>
    <row r="2104" spans="1:25" x14ac:dyDescent="0.25">
      <c r="A2104" s="81">
        <f t="shared" si="528"/>
        <v>2085</v>
      </c>
      <c r="B2104" s="77">
        <f t="shared" si="528"/>
        <v>97</v>
      </c>
      <c r="C2104" s="79" t="s">
        <v>384</v>
      </c>
      <c r="D2104" s="80">
        <v>95</v>
      </c>
      <c r="E2104" s="80"/>
      <c r="F2104" s="65">
        <v>3.7999999999999999E-2</v>
      </c>
      <c r="G2104" s="65">
        <f t="shared" si="527"/>
        <v>7.4860000000000005E-3</v>
      </c>
      <c r="H2104" s="66">
        <v>7.0000000000000001E-3</v>
      </c>
      <c r="I2104" s="66">
        <f t="shared" si="526"/>
        <v>1.0499999999999999E-3</v>
      </c>
      <c r="J2104" s="32">
        <f t="shared" si="523"/>
        <v>1.5575E-2</v>
      </c>
      <c r="K2104" s="33">
        <f t="shared" si="518"/>
        <v>2.3362499999999998E-3</v>
      </c>
      <c r="L2104" s="24" t="s">
        <v>16</v>
      </c>
      <c r="O2104" s="2">
        <f t="shared" si="519"/>
        <v>2.9166666666666668E-3</v>
      </c>
      <c r="P2104" s="2">
        <f t="shared" si="520"/>
        <v>2.1</v>
      </c>
      <c r="Q2104" s="7">
        <f t="shared" si="521"/>
        <v>9.5108695652173925</v>
      </c>
      <c r="R2104" s="2">
        <v>1.2</v>
      </c>
      <c r="S2104" s="2">
        <f t="shared" si="524"/>
        <v>4.45</v>
      </c>
      <c r="T2104" s="2"/>
      <c r="U2104" s="2"/>
      <c r="Y2104" s="8">
        <f t="shared" si="522"/>
        <v>0.33858695652173915</v>
      </c>
    </row>
    <row r="2105" spans="1:25" x14ac:dyDescent="0.25">
      <c r="A2105" s="81">
        <f t="shared" si="528"/>
        <v>2086</v>
      </c>
      <c r="B2105" s="77">
        <f t="shared" si="528"/>
        <v>98</v>
      </c>
      <c r="C2105" s="79" t="s">
        <v>583</v>
      </c>
      <c r="D2105" s="80" t="s">
        <v>100</v>
      </c>
      <c r="E2105" s="80"/>
      <c r="F2105" s="65">
        <v>6.8879999999999997E-2</v>
      </c>
      <c r="G2105" s="65">
        <f t="shared" si="527"/>
        <v>1.3569360000000001E-2</v>
      </c>
      <c r="H2105" s="66">
        <v>2.5264000000000002E-2</v>
      </c>
      <c r="I2105" s="66">
        <f>H2105*0.15</f>
        <v>3.7896000000000002E-3</v>
      </c>
      <c r="J2105" s="32">
        <f t="shared" si="523"/>
        <v>5.6212400000000017E-2</v>
      </c>
      <c r="K2105" s="33">
        <f t="shared" si="518"/>
        <v>8.4318600000000028E-3</v>
      </c>
      <c r="L2105" s="24" t="s">
        <v>16</v>
      </c>
      <c r="O2105" s="2">
        <f t="shared" si="519"/>
        <v>1.0526666666666669E-2</v>
      </c>
      <c r="P2105" s="2">
        <f t="shared" si="520"/>
        <v>7.579200000000001</v>
      </c>
      <c r="Q2105" s="7">
        <f t="shared" si="521"/>
        <v>34.326086956521742</v>
      </c>
      <c r="R2105" s="2">
        <v>1.2</v>
      </c>
      <c r="S2105" s="2">
        <f t="shared" si="524"/>
        <v>4.45</v>
      </c>
      <c r="T2105" s="2"/>
      <c r="U2105" s="2"/>
      <c r="Y2105" s="8">
        <f t="shared" si="522"/>
        <v>1.2220086956521743</v>
      </c>
    </row>
    <row r="2106" spans="1:25" x14ac:dyDescent="0.25">
      <c r="A2106" s="81">
        <f t="shared" ref="A2106:B2121" si="529">A2105+1</f>
        <v>2087</v>
      </c>
      <c r="B2106" s="77">
        <f t="shared" si="529"/>
        <v>99</v>
      </c>
      <c r="C2106" s="79" t="s">
        <v>583</v>
      </c>
      <c r="D2106" s="80" t="s">
        <v>164</v>
      </c>
      <c r="E2106" s="80"/>
      <c r="F2106" s="65">
        <v>8.8220000000000007E-2</v>
      </c>
      <c r="G2106" s="65">
        <f t="shared" si="527"/>
        <v>1.7379340000000004E-2</v>
      </c>
      <c r="H2106" s="66">
        <v>5.9905E-2</v>
      </c>
      <c r="I2106" s="66">
        <f t="shared" si="526"/>
        <v>8.9857499999999989E-3</v>
      </c>
      <c r="J2106" s="32">
        <f t="shared" si="523"/>
        <v>0.13328862499999999</v>
      </c>
      <c r="K2106" s="33">
        <f t="shared" si="518"/>
        <v>1.9993293749999998E-2</v>
      </c>
      <c r="L2106" s="24" t="s">
        <v>16</v>
      </c>
      <c r="O2106" s="2">
        <f t="shared" si="519"/>
        <v>2.4960416666666669E-2</v>
      </c>
      <c r="P2106" s="2">
        <f t="shared" si="520"/>
        <v>17.971500000000002</v>
      </c>
      <c r="Q2106" s="7">
        <f t="shared" si="521"/>
        <v>81.392663043478279</v>
      </c>
      <c r="R2106" s="2">
        <v>1.2</v>
      </c>
      <c r="S2106" s="2">
        <f t="shared" si="524"/>
        <v>4.45</v>
      </c>
      <c r="T2106" s="2"/>
      <c r="U2106" s="2"/>
      <c r="Y2106" s="8">
        <f t="shared" si="522"/>
        <v>2.8975788043478259</v>
      </c>
    </row>
    <row r="2107" spans="1:25" x14ac:dyDescent="0.25">
      <c r="A2107" s="81">
        <f t="shared" si="529"/>
        <v>2088</v>
      </c>
      <c r="B2107" s="77">
        <f t="shared" si="529"/>
        <v>100</v>
      </c>
      <c r="C2107" s="76" t="s">
        <v>583</v>
      </c>
      <c r="D2107" s="78" t="s">
        <v>165</v>
      </c>
      <c r="E2107" s="78"/>
      <c r="F2107" s="65">
        <v>6.694E-2</v>
      </c>
      <c r="G2107" s="65">
        <f t="shared" si="527"/>
        <v>1.318718E-2</v>
      </c>
      <c r="H2107" s="66">
        <v>4.931E-2</v>
      </c>
      <c r="I2107" s="66">
        <f t="shared" si="526"/>
        <v>7.3964999999999994E-3</v>
      </c>
      <c r="J2107" s="32">
        <f t="shared" si="523"/>
        <v>0.10971475</v>
      </c>
      <c r="K2107" s="33">
        <f t="shared" si="518"/>
        <v>1.6457212499999999E-2</v>
      </c>
      <c r="L2107" s="24" t="s">
        <v>16</v>
      </c>
      <c r="O2107" s="2">
        <f t="shared" si="519"/>
        <v>2.0545833333333333E-2</v>
      </c>
      <c r="P2107" s="2">
        <f t="shared" si="520"/>
        <v>14.792999999999999</v>
      </c>
      <c r="Q2107" s="7">
        <f t="shared" si="521"/>
        <v>66.997282608695656</v>
      </c>
      <c r="R2107" s="2">
        <v>1.2</v>
      </c>
      <c r="S2107" s="2">
        <f t="shared" si="524"/>
        <v>4.45</v>
      </c>
      <c r="T2107" s="2"/>
      <c r="U2107" s="2"/>
      <c r="Y2107" s="8">
        <f t="shared" si="522"/>
        <v>2.385103260869565</v>
      </c>
    </row>
    <row r="2108" spans="1:25" x14ac:dyDescent="0.25">
      <c r="A2108" s="81">
        <f t="shared" si="529"/>
        <v>2089</v>
      </c>
      <c r="B2108" s="77">
        <f t="shared" si="529"/>
        <v>101</v>
      </c>
      <c r="C2108" s="79" t="s">
        <v>583</v>
      </c>
      <c r="D2108" s="80" t="s">
        <v>167</v>
      </c>
      <c r="E2108" s="80"/>
      <c r="F2108" s="65">
        <v>4.1950000000000001E-2</v>
      </c>
      <c r="G2108" s="65">
        <f t="shared" si="527"/>
        <v>8.2641500000000014E-3</v>
      </c>
      <c r="H2108" s="66">
        <v>2.4721E-2</v>
      </c>
      <c r="I2108" s="66">
        <f t="shared" si="526"/>
        <v>3.7081499999999999E-3</v>
      </c>
      <c r="J2108" s="32">
        <f t="shared" si="523"/>
        <v>5.5004225000000011E-2</v>
      </c>
      <c r="K2108" s="33">
        <f t="shared" si="518"/>
        <v>8.2506337500000016E-3</v>
      </c>
      <c r="L2108" s="52"/>
      <c r="O2108" s="2">
        <f t="shared" si="519"/>
        <v>1.0300416666666668E-2</v>
      </c>
      <c r="P2108" s="2">
        <f t="shared" si="520"/>
        <v>7.4163000000000014</v>
      </c>
      <c r="Q2108" s="7">
        <f t="shared" si="521"/>
        <v>33.588315217391312</v>
      </c>
      <c r="R2108" s="2">
        <v>1.2</v>
      </c>
      <c r="S2108" s="2">
        <f t="shared" si="524"/>
        <v>4.45</v>
      </c>
      <c r="T2108" s="2"/>
      <c r="U2108" s="2"/>
      <c r="Y2108" s="8">
        <f t="shared" si="522"/>
        <v>1.1957440217391306</v>
      </c>
    </row>
    <row r="2109" spans="1:25" x14ac:dyDescent="0.25">
      <c r="A2109" s="81">
        <f t="shared" si="529"/>
        <v>2090</v>
      </c>
      <c r="B2109" s="77">
        <f t="shared" si="529"/>
        <v>102</v>
      </c>
      <c r="C2109" s="79" t="s">
        <v>583</v>
      </c>
      <c r="D2109" s="80" t="s">
        <v>584</v>
      </c>
      <c r="E2109" s="80"/>
      <c r="F2109" s="65">
        <v>7.0449999999999999E-2</v>
      </c>
      <c r="G2109" s="65">
        <f t="shared" si="527"/>
        <v>1.3878650000000001E-2</v>
      </c>
      <c r="H2109" s="66">
        <v>4.1217999999999998E-2</v>
      </c>
      <c r="I2109" s="66">
        <f t="shared" si="526"/>
        <v>6.1826999999999993E-3</v>
      </c>
      <c r="J2109" s="32">
        <f t="shared" si="523"/>
        <v>9.1710050000000001E-2</v>
      </c>
      <c r="K2109" s="33">
        <f t="shared" si="518"/>
        <v>1.3756507499999999E-2</v>
      </c>
      <c r="L2109" s="24" t="s">
        <v>16</v>
      </c>
      <c r="O2109" s="2">
        <f t="shared" si="519"/>
        <v>1.7174166666666667E-2</v>
      </c>
      <c r="P2109" s="2">
        <f t="shared" si="520"/>
        <v>12.365399999999999</v>
      </c>
      <c r="Q2109" s="7">
        <f t="shared" si="521"/>
        <v>56.002717391304344</v>
      </c>
      <c r="R2109" s="2">
        <v>1.2</v>
      </c>
      <c r="S2109" s="2">
        <f t="shared" si="524"/>
        <v>4.45</v>
      </c>
      <c r="T2109" s="2"/>
      <c r="U2109" s="2"/>
      <c r="Y2109" s="8">
        <f t="shared" si="522"/>
        <v>1.993696739130435</v>
      </c>
    </row>
    <row r="2110" spans="1:25" x14ac:dyDescent="0.25">
      <c r="A2110" s="81">
        <f t="shared" si="529"/>
        <v>2091</v>
      </c>
      <c r="B2110" s="77">
        <f t="shared" si="529"/>
        <v>103</v>
      </c>
      <c r="C2110" s="76" t="s">
        <v>392</v>
      </c>
      <c r="D2110" s="78" t="s">
        <v>585</v>
      </c>
      <c r="E2110" s="78"/>
      <c r="F2110" s="65">
        <v>0.11</v>
      </c>
      <c r="G2110" s="65">
        <f t="shared" si="527"/>
        <v>2.1670000000000002E-2</v>
      </c>
      <c r="H2110" s="66">
        <v>9.5000000000000001E-2</v>
      </c>
      <c r="I2110" s="66">
        <f t="shared" si="526"/>
        <v>1.4249999999999999E-2</v>
      </c>
      <c r="J2110" s="32">
        <f t="shared" si="523"/>
        <v>0.21137500000000004</v>
      </c>
      <c r="K2110" s="33">
        <f t="shared" si="518"/>
        <v>3.1706250000000005E-2</v>
      </c>
      <c r="L2110" s="52"/>
      <c r="O2110" s="2">
        <f t="shared" si="519"/>
        <v>3.9583333333333338E-2</v>
      </c>
      <c r="P2110" s="2">
        <f t="shared" si="520"/>
        <v>28.500000000000007</v>
      </c>
      <c r="Q2110" s="7">
        <f t="shared" si="521"/>
        <v>129.07608695652178</v>
      </c>
      <c r="R2110" s="2">
        <v>1.2</v>
      </c>
      <c r="S2110" s="2">
        <f t="shared" si="524"/>
        <v>4.45</v>
      </c>
      <c r="T2110" s="2"/>
      <c r="U2110" s="2"/>
      <c r="Y2110" s="8">
        <f t="shared" si="522"/>
        <v>4.5951086956521747</v>
      </c>
    </row>
    <row r="2111" spans="1:25" x14ac:dyDescent="0.25">
      <c r="A2111" s="81">
        <f t="shared" si="529"/>
        <v>2092</v>
      </c>
      <c r="B2111" s="77">
        <f t="shared" si="529"/>
        <v>104</v>
      </c>
      <c r="C2111" s="82" t="s">
        <v>392</v>
      </c>
      <c r="D2111" s="80" t="s">
        <v>477</v>
      </c>
      <c r="E2111" s="80"/>
      <c r="F2111" s="65">
        <v>0.127</v>
      </c>
      <c r="G2111" s="65">
        <f t="shared" si="527"/>
        <v>2.5019000000000003E-2</v>
      </c>
      <c r="H2111" s="66">
        <v>1.0999999999999999E-2</v>
      </c>
      <c r="I2111" s="66">
        <f t="shared" si="526"/>
        <v>1.6499999999999998E-3</v>
      </c>
      <c r="J2111" s="32">
        <f t="shared" si="523"/>
        <v>2.4475E-2</v>
      </c>
      <c r="K2111" s="33">
        <f t="shared" si="518"/>
        <v>3.67125E-3</v>
      </c>
      <c r="L2111" s="52"/>
      <c r="O2111" s="2">
        <f t="shared" si="519"/>
        <v>4.5833333333333334E-3</v>
      </c>
      <c r="P2111" s="2">
        <f t="shared" si="520"/>
        <v>3.3</v>
      </c>
      <c r="Q2111" s="7">
        <f t="shared" si="521"/>
        <v>14.945652173913043</v>
      </c>
      <c r="R2111" s="2">
        <v>1.2</v>
      </c>
      <c r="S2111" s="2">
        <f t="shared" si="524"/>
        <v>4.45</v>
      </c>
      <c r="T2111" s="2"/>
      <c r="U2111" s="2"/>
      <c r="Y2111" s="8">
        <f t="shared" si="522"/>
        <v>0.53206521739130441</v>
      </c>
    </row>
    <row r="2112" spans="1:25" x14ac:dyDescent="0.25">
      <c r="A2112" s="81">
        <f t="shared" si="529"/>
        <v>2093</v>
      </c>
      <c r="B2112" s="77">
        <f t="shared" si="529"/>
        <v>105</v>
      </c>
      <c r="C2112" s="82" t="s">
        <v>392</v>
      </c>
      <c r="D2112" s="80" t="s">
        <v>586</v>
      </c>
      <c r="E2112" s="80"/>
      <c r="F2112" s="65">
        <v>5.901E-2</v>
      </c>
      <c r="G2112" s="65">
        <f t="shared" si="527"/>
        <v>1.162497E-2</v>
      </c>
      <c r="H2112" s="66">
        <v>3.1773000000000003E-2</v>
      </c>
      <c r="I2112" s="66">
        <f t="shared" si="526"/>
        <v>4.7659500000000006E-3</v>
      </c>
      <c r="J2112" s="32">
        <f t="shared" si="523"/>
        <v>7.0694925000000006E-2</v>
      </c>
      <c r="K2112" s="33">
        <f t="shared" si="518"/>
        <v>1.060423875E-2</v>
      </c>
      <c r="L2112" s="52"/>
      <c r="O2112" s="2">
        <f t="shared" si="519"/>
        <v>1.3238750000000002E-2</v>
      </c>
      <c r="P2112" s="2">
        <f t="shared" si="520"/>
        <v>9.531900000000002</v>
      </c>
      <c r="Q2112" s="7">
        <f t="shared" si="521"/>
        <v>43.169836956521749</v>
      </c>
      <c r="R2112" s="2">
        <v>1.2</v>
      </c>
      <c r="S2112" s="2">
        <f t="shared" si="524"/>
        <v>4.45</v>
      </c>
      <c r="T2112" s="2"/>
      <c r="U2112" s="2"/>
      <c r="Y2112" s="8">
        <f t="shared" si="522"/>
        <v>1.5368461956521742</v>
      </c>
    </row>
    <row r="2113" spans="1:25" x14ac:dyDescent="0.25">
      <c r="A2113" s="81">
        <f t="shared" si="529"/>
        <v>2094</v>
      </c>
      <c r="B2113" s="77">
        <f t="shared" si="529"/>
        <v>106</v>
      </c>
      <c r="C2113" s="82" t="s">
        <v>392</v>
      </c>
      <c r="D2113" s="80" t="s">
        <v>207</v>
      </c>
      <c r="E2113" s="80"/>
      <c r="F2113" s="65">
        <v>0.11754000000000001</v>
      </c>
      <c r="G2113" s="65">
        <f t="shared" si="527"/>
        <v>2.3155380000000003E-2</v>
      </c>
      <c r="H2113" s="66">
        <v>1.2182E-2</v>
      </c>
      <c r="I2113" s="66">
        <f t="shared" si="526"/>
        <v>1.8273E-3</v>
      </c>
      <c r="J2113" s="32">
        <f t="shared" si="523"/>
        <v>2.7104950000000003E-2</v>
      </c>
      <c r="K2113" s="33">
        <f t="shared" si="518"/>
        <v>4.0657425000000004E-3</v>
      </c>
      <c r="L2113" s="52"/>
      <c r="O2113" s="2">
        <f t="shared" si="519"/>
        <v>5.0758333333333332E-3</v>
      </c>
      <c r="P2113" s="2">
        <f t="shared" si="520"/>
        <v>3.6545999999999998</v>
      </c>
      <c r="Q2113" s="7">
        <f t="shared" si="521"/>
        <v>16.551630434782609</v>
      </c>
      <c r="R2113" s="2">
        <v>1.2</v>
      </c>
      <c r="S2113" s="2">
        <f t="shared" si="524"/>
        <v>4.45</v>
      </c>
      <c r="T2113" s="2"/>
      <c r="U2113" s="2"/>
      <c r="Y2113" s="8">
        <f t="shared" si="522"/>
        <v>0.58923804347826092</v>
      </c>
    </row>
    <row r="2114" spans="1:25" x14ac:dyDescent="0.25">
      <c r="A2114" s="81">
        <f t="shared" si="529"/>
        <v>2095</v>
      </c>
      <c r="B2114" s="77">
        <f t="shared" si="529"/>
        <v>107</v>
      </c>
      <c r="C2114" s="79" t="s">
        <v>392</v>
      </c>
      <c r="D2114" s="80" t="s">
        <v>587</v>
      </c>
      <c r="E2114" s="80"/>
      <c r="F2114" s="65">
        <v>0.18131</v>
      </c>
      <c r="G2114" s="65">
        <f t="shared" si="527"/>
        <v>3.5718070000000005E-2</v>
      </c>
      <c r="H2114" s="66">
        <v>4.8461999999999998E-2</v>
      </c>
      <c r="I2114" s="66">
        <f t="shared" si="526"/>
        <v>7.2692999999999994E-3</v>
      </c>
      <c r="J2114" s="32">
        <f t="shared" si="523"/>
        <v>0.10782795000000001</v>
      </c>
      <c r="K2114" s="33">
        <f t="shared" si="518"/>
        <v>1.61741925E-2</v>
      </c>
      <c r="L2114" s="52"/>
      <c r="O2114" s="2">
        <f t="shared" si="519"/>
        <v>2.0192499999999999E-2</v>
      </c>
      <c r="P2114" s="2">
        <f t="shared" si="520"/>
        <v>14.538599999999999</v>
      </c>
      <c r="Q2114" s="7">
        <f t="shared" si="521"/>
        <v>65.845108695652172</v>
      </c>
      <c r="R2114" s="2">
        <v>1.2</v>
      </c>
      <c r="S2114" s="2">
        <f t="shared" si="524"/>
        <v>4.45</v>
      </c>
      <c r="T2114" s="2"/>
      <c r="U2114" s="2"/>
      <c r="Y2114" s="8">
        <f t="shared" si="522"/>
        <v>2.3440858695652178</v>
      </c>
    </row>
    <row r="2115" spans="1:25" x14ac:dyDescent="0.25">
      <c r="A2115" s="81">
        <f t="shared" si="529"/>
        <v>2096</v>
      </c>
      <c r="B2115" s="77">
        <f t="shared" si="529"/>
        <v>108</v>
      </c>
      <c r="C2115" s="83" t="s">
        <v>429</v>
      </c>
      <c r="D2115" s="51" t="s">
        <v>588</v>
      </c>
      <c r="E2115" s="51"/>
      <c r="F2115" s="65">
        <v>0.129886</v>
      </c>
      <c r="G2115" s="65">
        <f t="shared" si="527"/>
        <v>2.5587542000000001E-2</v>
      </c>
      <c r="H2115" s="66">
        <v>4.1217999999999998E-2</v>
      </c>
      <c r="I2115" s="66">
        <f t="shared" si="526"/>
        <v>6.1826999999999993E-3</v>
      </c>
      <c r="J2115" s="32">
        <f t="shared" si="523"/>
        <v>9.1710050000000001E-2</v>
      </c>
      <c r="K2115" s="33">
        <f t="shared" si="518"/>
        <v>1.3756507499999999E-2</v>
      </c>
      <c r="L2115" s="52"/>
      <c r="O2115" s="2">
        <f t="shared" si="519"/>
        <v>1.7174166666666667E-2</v>
      </c>
      <c r="P2115" s="2">
        <f t="shared" si="520"/>
        <v>12.365399999999999</v>
      </c>
      <c r="Q2115" s="7">
        <f t="shared" si="521"/>
        <v>56.002717391304344</v>
      </c>
      <c r="R2115" s="2">
        <v>1.2</v>
      </c>
      <c r="S2115" s="2">
        <f t="shared" si="524"/>
        <v>4.45</v>
      </c>
      <c r="T2115" s="2"/>
      <c r="U2115" s="2"/>
      <c r="Y2115" s="8">
        <f t="shared" si="522"/>
        <v>1.993696739130435</v>
      </c>
    </row>
    <row r="2116" spans="1:25" x14ac:dyDescent="0.25">
      <c r="A2116" s="81">
        <f t="shared" si="529"/>
        <v>2097</v>
      </c>
      <c r="B2116" s="77">
        <f t="shared" si="529"/>
        <v>109</v>
      </c>
      <c r="C2116" s="82" t="s">
        <v>431</v>
      </c>
      <c r="D2116" s="80" t="s">
        <v>43</v>
      </c>
      <c r="E2116" s="80"/>
      <c r="F2116" s="65">
        <v>3.7999999999999999E-2</v>
      </c>
      <c r="G2116" s="65">
        <f t="shared" si="527"/>
        <v>7.4860000000000005E-3</v>
      </c>
      <c r="H2116" s="66">
        <v>1.0999999999999999E-2</v>
      </c>
      <c r="I2116" s="66">
        <f t="shared" si="526"/>
        <v>1.6499999999999998E-3</v>
      </c>
      <c r="J2116" s="32">
        <f t="shared" si="523"/>
        <v>2.4475E-2</v>
      </c>
      <c r="K2116" s="33">
        <f t="shared" si="518"/>
        <v>3.67125E-3</v>
      </c>
      <c r="L2116" s="24" t="s">
        <v>16</v>
      </c>
      <c r="O2116" s="2">
        <f t="shared" si="519"/>
        <v>4.5833333333333334E-3</v>
      </c>
      <c r="P2116" s="2">
        <f t="shared" si="520"/>
        <v>3.3</v>
      </c>
      <c r="Q2116" s="7">
        <f t="shared" si="521"/>
        <v>14.945652173913043</v>
      </c>
      <c r="R2116" s="2">
        <v>1.2</v>
      </c>
      <c r="S2116" s="2">
        <f t="shared" si="524"/>
        <v>4.45</v>
      </c>
      <c r="T2116" s="2"/>
      <c r="U2116" s="2"/>
      <c r="Y2116" s="8">
        <f t="shared" si="522"/>
        <v>0.53206521739130441</v>
      </c>
    </row>
    <row r="2117" spans="1:25" x14ac:dyDescent="0.25">
      <c r="A2117" s="81">
        <f t="shared" si="529"/>
        <v>2098</v>
      </c>
      <c r="B2117" s="77">
        <f t="shared" si="529"/>
        <v>110</v>
      </c>
      <c r="C2117" s="82" t="s">
        <v>431</v>
      </c>
      <c r="D2117" s="80" t="s">
        <v>589</v>
      </c>
      <c r="E2117" s="80"/>
      <c r="F2117" s="65">
        <v>0.03</v>
      </c>
      <c r="G2117" s="65">
        <f t="shared" si="527"/>
        <v>5.9100000000000003E-3</v>
      </c>
      <c r="H2117" s="66">
        <v>5.0000000000000001E-3</v>
      </c>
      <c r="I2117" s="66">
        <f t="shared" si="526"/>
        <v>7.5000000000000002E-4</v>
      </c>
      <c r="J2117" s="32">
        <f t="shared" si="523"/>
        <v>1.1125000000000001E-2</v>
      </c>
      <c r="K2117" s="33">
        <f t="shared" si="518"/>
        <v>1.6687500000000001E-3</v>
      </c>
      <c r="L2117" s="52"/>
      <c r="O2117" s="2">
        <f t="shared" si="519"/>
        <v>2.0833333333333333E-3</v>
      </c>
      <c r="P2117" s="2">
        <f t="shared" si="520"/>
        <v>1.5</v>
      </c>
      <c r="Q2117" s="7">
        <f t="shared" si="521"/>
        <v>6.7934782608695654</v>
      </c>
      <c r="R2117" s="2">
        <v>1.2</v>
      </c>
      <c r="S2117" s="2">
        <f t="shared" si="524"/>
        <v>4.45</v>
      </c>
      <c r="T2117" s="2"/>
      <c r="U2117" s="2"/>
      <c r="Y2117" s="8">
        <f t="shared" si="522"/>
        <v>0.24184782608695654</v>
      </c>
    </row>
    <row r="2118" spans="1:25" x14ac:dyDescent="0.25">
      <c r="A2118" s="81">
        <f t="shared" si="529"/>
        <v>2099</v>
      </c>
      <c r="B2118" s="77">
        <f t="shared" si="529"/>
        <v>111</v>
      </c>
      <c r="C2118" s="82" t="s">
        <v>432</v>
      </c>
      <c r="D2118" s="80" t="s">
        <v>590</v>
      </c>
      <c r="E2118" s="80"/>
      <c r="F2118" s="65">
        <v>0.114</v>
      </c>
      <c r="G2118" s="65">
        <f t="shared" si="527"/>
        <v>2.2458000000000002E-2</v>
      </c>
      <c r="H2118" s="66">
        <v>1.2999999999999999E-2</v>
      </c>
      <c r="I2118" s="66">
        <f>H2118*0.15</f>
        <v>1.9499999999999999E-3</v>
      </c>
      <c r="J2118" s="32">
        <f t="shared" si="523"/>
        <v>2.8924999999999999E-2</v>
      </c>
      <c r="K2118" s="33">
        <f t="shared" si="518"/>
        <v>4.3387499999999997E-3</v>
      </c>
      <c r="L2118" s="52"/>
      <c r="O2118" s="2">
        <f t="shared" si="519"/>
        <v>5.4166666666666669E-3</v>
      </c>
      <c r="P2118" s="2">
        <f t="shared" si="520"/>
        <v>3.9000000000000004</v>
      </c>
      <c r="Q2118" s="7">
        <f t="shared" si="521"/>
        <v>17.663043478260871</v>
      </c>
      <c r="R2118" s="2">
        <v>1.2</v>
      </c>
      <c r="S2118" s="2">
        <f t="shared" si="524"/>
        <v>4.45</v>
      </c>
      <c r="T2118" s="2"/>
      <c r="U2118" s="2"/>
      <c r="Y2118" s="8">
        <f t="shared" si="522"/>
        <v>0.62880434782608685</v>
      </c>
    </row>
    <row r="2119" spans="1:25" x14ac:dyDescent="0.25">
      <c r="A2119" s="81">
        <f t="shared" si="529"/>
        <v>2100</v>
      </c>
      <c r="B2119" s="77">
        <f t="shared" si="529"/>
        <v>112</v>
      </c>
      <c r="C2119" s="82" t="s">
        <v>432</v>
      </c>
      <c r="D2119" s="80" t="s">
        <v>591</v>
      </c>
      <c r="E2119" s="80"/>
      <c r="F2119" s="65">
        <v>5.0999999999999997E-2</v>
      </c>
      <c r="G2119" s="65">
        <f t="shared" si="527"/>
        <v>1.0047E-2</v>
      </c>
      <c r="H2119" s="66">
        <v>1.0999999999999999E-2</v>
      </c>
      <c r="I2119" s="66">
        <f t="shared" si="526"/>
        <v>1.6499999999999998E-3</v>
      </c>
      <c r="J2119" s="32">
        <f t="shared" si="523"/>
        <v>2.4475E-2</v>
      </c>
      <c r="K2119" s="33">
        <f t="shared" si="518"/>
        <v>3.67125E-3</v>
      </c>
      <c r="L2119" s="24" t="s">
        <v>16</v>
      </c>
      <c r="O2119" s="2">
        <f t="shared" si="519"/>
        <v>4.5833333333333334E-3</v>
      </c>
      <c r="P2119" s="2">
        <f t="shared" si="520"/>
        <v>3.3</v>
      </c>
      <c r="Q2119" s="7">
        <f t="shared" si="521"/>
        <v>14.945652173913043</v>
      </c>
      <c r="R2119" s="2">
        <v>1.2</v>
      </c>
      <c r="S2119" s="2">
        <f t="shared" si="524"/>
        <v>4.45</v>
      </c>
      <c r="T2119" s="2"/>
      <c r="U2119" s="2"/>
      <c r="Y2119" s="8">
        <f t="shared" si="522"/>
        <v>0.53206521739130441</v>
      </c>
    </row>
    <row r="2120" spans="1:25" x14ac:dyDescent="0.25">
      <c r="A2120" s="81">
        <f t="shared" si="529"/>
        <v>2101</v>
      </c>
      <c r="B2120" s="77">
        <f t="shared" si="529"/>
        <v>113</v>
      </c>
      <c r="C2120" s="82" t="s">
        <v>592</v>
      </c>
      <c r="D2120" s="80" t="s">
        <v>593</v>
      </c>
      <c r="E2120" s="80"/>
      <c r="F2120" s="65">
        <v>2.4E-2</v>
      </c>
      <c r="G2120" s="65">
        <f t="shared" si="527"/>
        <v>4.7280000000000004E-3</v>
      </c>
      <c r="H2120" s="66">
        <v>6.0000000000000001E-3</v>
      </c>
      <c r="I2120" s="66">
        <f t="shared" si="526"/>
        <v>8.9999999999999998E-4</v>
      </c>
      <c r="J2120" s="32">
        <f t="shared" si="523"/>
        <v>1.3350000000000001E-2</v>
      </c>
      <c r="K2120" s="33">
        <f t="shared" si="518"/>
        <v>2.0024999999999999E-3</v>
      </c>
      <c r="L2120" s="24" t="s">
        <v>16</v>
      </c>
      <c r="O2120" s="2">
        <f t="shared" si="519"/>
        <v>2.5000000000000001E-3</v>
      </c>
      <c r="P2120" s="2">
        <f t="shared" si="520"/>
        <v>1.7999999999999998</v>
      </c>
      <c r="Q2120" s="7">
        <f t="shared" si="521"/>
        <v>8.1521739130434767</v>
      </c>
      <c r="R2120" s="2">
        <v>1.2</v>
      </c>
      <c r="S2120" s="2">
        <f t="shared" si="524"/>
        <v>4.45</v>
      </c>
      <c r="T2120" s="2"/>
      <c r="U2120" s="2"/>
      <c r="Y2120" s="8">
        <f t="shared" si="522"/>
        <v>0.29021739130434787</v>
      </c>
    </row>
    <row r="2121" spans="1:25" x14ac:dyDescent="0.25">
      <c r="A2121" s="81">
        <f t="shared" si="529"/>
        <v>2102</v>
      </c>
      <c r="B2121" s="77">
        <f t="shared" si="529"/>
        <v>114</v>
      </c>
      <c r="C2121" s="82" t="s">
        <v>488</v>
      </c>
      <c r="D2121" s="80" t="s">
        <v>48</v>
      </c>
      <c r="E2121" s="80"/>
      <c r="F2121" s="65">
        <v>5.7000000000000002E-2</v>
      </c>
      <c r="G2121" s="65">
        <f t="shared" si="527"/>
        <v>1.1229000000000001E-2</v>
      </c>
      <c r="H2121" s="66">
        <v>1.4999999999999999E-2</v>
      </c>
      <c r="I2121" s="66">
        <f t="shared" si="526"/>
        <v>2.2499999999999998E-3</v>
      </c>
      <c r="J2121" s="32">
        <f t="shared" si="523"/>
        <v>3.3375000000000002E-2</v>
      </c>
      <c r="K2121" s="33">
        <f t="shared" si="518"/>
        <v>5.0062500000000003E-3</v>
      </c>
      <c r="L2121" s="24" t="s">
        <v>16</v>
      </c>
      <c r="O2121" s="2">
        <f t="shared" si="519"/>
        <v>6.2500000000000003E-3</v>
      </c>
      <c r="P2121" s="2">
        <f t="shared" si="520"/>
        <v>4.5000000000000009</v>
      </c>
      <c r="Q2121" s="7">
        <f t="shared" si="521"/>
        <v>20.380434782608699</v>
      </c>
      <c r="R2121" s="2">
        <v>1.2</v>
      </c>
      <c r="S2121" s="2">
        <f t="shared" si="524"/>
        <v>4.45</v>
      </c>
      <c r="T2121" s="2"/>
      <c r="U2121" s="2"/>
      <c r="Y2121" s="8">
        <f t="shared" si="522"/>
        <v>0.72554347826086962</v>
      </c>
    </row>
    <row r="2122" spans="1:25" x14ac:dyDescent="0.25">
      <c r="A2122" s="81">
        <f t="shared" ref="A2122:B2137" si="530">A2121+1</f>
        <v>2103</v>
      </c>
      <c r="B2122" s="77">
        <f t="shared" si="530"/>
        <v>115</v>
      </c>
      <c r="C2122" s="82" t="s">
        <v>488</v>
      </c>
      <c r="D2122" s="80" t="s">
        <v>52</v>
      </c>
      <c r="E2122" s="80"/>
      <c r="F2122" s="65">
        <v>8.6999999999999994E-2</v>
      </c>
      <c r="G2122" s="65">
        <f t="shared" si="527"/>
        <v>1.7138999999999998E-2</v>
      </c>
      <c r="H2122" s="66">
        <v>1.6E-2</v>
      </c>
      <c r="I2122" s="66">
        <f t="shared" si="526"/>
        <v>2.3999999999999998E-3</v>
      </c>
      <c r="J2122" s="32">
        <f t="shared" si="523"/>
        <v>3.56E-2</v>
      </c>
      <c r="K2122" s="33">
        <f t="shared" si="518"/>
        <v>5.3400000000000001E-3</v>
      </c>
      <c r="L2122" s="52"/>
      <c r="O2122" s="2">
        <f t="shared" si="519"/>
        <v>6.6666666666666671E-3</v>
      </c>
      <c r="P2122" s="2">
        <f t="shared" si="520"/>
        <v>4.8</v>
      </c>
      <c r="Q2122" s="7">
        <f t="shared" si="521"/>
        <v>21.739130434782609</v>
      </c>
      <c r="R2122" s="2">
        <v>1.2</v>
      </c>
      <c r="S2122" s="2">
        <f t="shared" si="524"/>
        <v>4.45</v>
      </c>
      <c r="T2122" s="2"/>
      <c r="U2122" s="2"/>
      <c r="Y2122" s="8">
        <f t="shared" si="522"/>
        <v>0.77391304347826095</v>
      </c>
    </row>
    <row r="2123" spans="1:25" x14ac:dyDescent="0.25">
      <c r="A2123" s="81">
        <f t="shared" si="530"/>
        <v>2104</v>
      </c>
      <c r="B2123" s="77">
        <f t="shared" si="530"/>
        <v>116</v>
      </c>
      <c r="C2123" s="82" t="s">
        <v>488</v>
      </c>
      <c r="D2123" s="80" t="s">
        <v>54</v>
      </c>
      <c r="E2123" s="80"/>
      <c r="F2123" s="65">
        <v>2.4E-2</v>
      </c>
      <c r="G2123" s="65">
        <f t="shared" si="527"/>
        <v>4.7280000000000004E-3</v>
      </c>
      <c r="H2123" s="66">
        <v>5.0000000000000001E-3</v>
      </c>
      <c r="I2123" s="66">
        <f>H2123*0.15</f>
        <v>7.5000000000000002E-4</v>
      </c>
      <c r="J2123" s="32">
        <f t="shared" si="523"/>
        <v>1.1125000000000001E-2</v>
      </c>
      <c r="K2123" s="33">
        <f t="shared" si="518"/>
        <v>1.6687500000000001E-3</v>
      </c>
      <c r="L2123" s="52"/>
      <c r="O2123" s="2">
        <f t="shared" si="519"/>
        <v>2.0833333333333333E-3</v>
      </c>
      <c r="P2123" s="2">
        <f t="shared" si="520"/>
        <v>1.5</v>
      </c>
      <c r="Q2123" s="7">
        <f t="shared" si="521"/>
        <v>6.7934782608695654</v>
      </c>
      <c r="R2123" s="2">
        <v>1.2</v>
      </c>
      <c r="S2123" s="2">
        <f t="shared" si="524"/>
        <v>4.45</v>
      </c>
      <c r="T2123" s="2"/>
      <c r="U2123" s="2"/>
      <c r="Y2123" s="8">
        <f t="shared" si="522"/>
        <v>0.24184782608695654</v>
      </c>
    </row>
    <row r="2124" spans="1:25" x14ac:dyDescent="0.25">
      <c r="A2124" s="81">
        <f t="shared" si="530"/>
        <v>2105</v>
      </c>
      <c r="B2124" s="77">
        <f t="shared" si="530"/>
        <v>117</v>
      </c>
      <c r="C2124" s="83" t="s">
        <v>594</v>
      </c>
      <c r="D2124" s="51">
        <v>99</v>
      </c>
      <c r="E2124" s="51"/>
      <c r="F2124" s="65">
        <v>0.16500000000000001</v>
      </c>
      <c r="G2124" s="65">
        <f t="shared" si="527"/>
        <v>3.2505000000000006E-2</v>
      </c>
      <c r="H2124" s="66">
        <v>2.1999999999999999E-2</v>
      </c>
      <c r="I2124" s="66">
        <f t="shared" si="526"/>
        <v>3.2999999999999995E-3</v>
      </c>
      <c r="J2124" s="32">
        <f t="shared" si="523"/>
        <v>4.895E-2</v>
      </c>
      <c r="K2124" s="33">
        <f t="shared" ref="K2124:K2187" si="531">J2124*0.15</f>
        <v>7.3425000000000001E-3</v>
      </c>
      <c r="L2124" s="52"/>
      <c r="O2124" s="2">
        <f t="shared" si="519"/>
        <v>9.1666666666666667E-3</v>
      </c>
      <c r="P2124" s="2">
        <f t="shared" si="520"/>
        <v>6.6</v>
      </c>
      <c r="Q2124" s="7">
        <f t="shared" si="521"/>
        <v>29.891304347826086</v>
      </c>
      <c r="R2124" s="2">
        <v>1.2</v>
      </c>
      <c r="S2124" s="2">
        <f t="shared" si="524"/>
        <v>4.45</v>
      </c>
      <c r="T2124" s="2"/>
      <c r="U2124" s="2"/>
      <c r="Y2124" s="8">
        <f t="shared" si="522"/>
        <v>1.0641304347826088</v>
      </c>
    </row>
    <row r="2125" spans="1:25" x14ac:dyDescent="0.25">
      <c r="A2125" s="81">
        <f t="shared" si="530"/>
        <v>2106</v>
      </c>
      <c r="B2125" s="77">
        <f t="shared" si="530"/>
        <v>118</v>
      </c>
      <c r="C2125" s="82" t="s">
        <v>595</v>
      </c>
      <c r="D2125" s="80" t="s">
        <v>596</v>
      </c>
      <c r="E2125" s="80"/>
      <c r="F2125" s="65">
        <v>7.4800000000000005E-2</v>
      </c>
      <c r="G2125" s="65">
        <f t="shared" si="527"/>
        <v>1.4735600000000001E-2</v>
      </c>
      <c r="H2125" s="66">
        <v>4.7100000000000003E-2</v>
      </c>
      <c r="I2125" s="66">
        <f t="shared" si="526"/>
        <v>7.0650000000000001E-3</v>
      </c>
      <c r="J2125" s="32">
        <f t="shared" si="523"/>
        <v>0.10479750000000003</v>
      </c>
      <c r="K2125" s="33">
        <f t="shared" si="531"/>
        <v>1.5719625000000004E-2</v>
      </c>
      <c r="L2125" s="24" t="s">
        <v>16</v>
      </c>
      <c r="O2125" s="2">
        <f t="shared" ref="O2125:O2188" si="532">H2125/2.4</f>
        <v>1.9625000000000004E-2</v>
      </c>
      <c r="P2125" s="2">
        <f t="shared" ref="P2125:P2188" si="533">O2125*24*30</f>
        <v>14.130000000000003</v>
      </c>
      <c r="Q2125" s="7">
        <f t="shared" ref="Q2125:Q2188" si="534">P2125/0.2208</f>
        <v>63.994565217391319</v>
      </c>
      <c r="R2125" s="2">
        <v>1.2</v>
      </c>
      <c r="S2125" s="2">
        <f t="shared" si="524"/>
        <v>4.45</v>
      </c>
      <c r="T2125" s="2"/>
      <c r="U2125" s="2"/>
      <c r="Y2125" s="8">
        <f t="shared" si="522"/>
        <v>2.278206521739131</v>
      </c>
    </row>
    <row r="2126" spans="1:25" x14ac:dyDescent="0.25">
      <c r="A2126" s="81">
        <f t="shared" si="530"/>
        <v>2107</v>
      </c>
      <c r="B2126" s="77">
        <f t="shared" si="530"/>
        <v>119</v>
      </c>
      <c r="C2126" s="82" t="s">
        <v>597</v>
      </c>
      <c r="D2126" s="80" t="s">
        <v>68</v>
      </c>
      <c r="E2126" s="80"/>
      <c r="F2126" s="65">
        <v>0.08</v>
      </c>
      <c r="G2126" s="65">
        <f t="shared" si="527"/>
        <v>1.576E-2</v>
      </c>
      <c r="H2126" s="66">
        <v>5.8999999999999997E-2</v>
      </c>
      <c r="I2126" s="66">
        <f t="shared" si="526"/>
        <v>8.8499999999999985E-3</v>
      </c>
      <c r="J2126" s="32">
        <f t="shared" si="523"/>
        <v>0.131275</v>
      </c>
      <c r="K2126" s="33">
        <f t="shared" si="531"/>
        <v>1.969125E-2</v>
      </c>
      <c r="L2126" s="24" t="s">
        <v>16</v>
      </c>
      <c r="O2126" s="2">
        <f t="shared" si="532"/>
        <v>2.4583333333333332E-2</v>
      </c>
      <c r="P2126" s="2">
        <f t="shared" si="533"/>
        <v>17.7</v>
      </c>
      <c r="Q2126" s="7">
        <f t="shared" si="534"/>
        <v>80.163043478260875</v>
      </c>
      <c r="R2126" s="2">
        <v>1.2</v>
      </c>
      <c r="S2126" s="2">
        <f t="shared" si="524"/>
        <v>4.45</v>
      </c>
      <c r="T2126" s="2"/>
      <c r="U2126" s="2"/>
      <c r="Y2126" s="8">
        <f t="shared" si="522"/>
        <v>2.8538043478260873</v>
      </c>
    </row>
    <row r="2127" spans="1:25" x14ac:dyDescent="0.25">
      <c r="A2127" s="81">
        <f t="shared" si="530"/>
        <v>2108</v>
      </c>
      <c r="B2127" s="77">
        <f t="shared" si="530"/>
        <v>120</v>
      </c>
      <c r="C2127" s="76" t="s">
        <v>401</v>
      </c>
      <c r="D2127" s="78" t="s">
        <v>495</v>
      </c>
      <c r="E2127" s="78"/>
      <c r="F2127" s="65">
        <v>0.14599999999999999</v>
      </c>
      <c r="G2127" s="65">
        <f t="shared" si="527"/>
        <v>2.8761999999999999E-2</v>
      </c>
      <c r="H2127" s="66">
        <v>1.9E-2</v>
      </c>
      <c r="I2127" s="66">
        <f t="shared" si="526"/>
        <v>2.8499999999999997E-3</v>
      </c>
      <c r="J2127" s="32">
        <f t="shared" si="523"/>
        <v>4.2275E-2</v>
      </c>
      <c r="K2127" s="33">
        <f t="shared" si="531"/>
        <v>6.3412499999999997E-3</v>
      </c>
      <c r="L2127" s="52"/>
      <c r="O2127" s="2">
        <f t="shared" si="532"/>
        <v>7.9166666666666673E-3</v>
      </c>
      <c r="P2127" s="2">
        <f t="shared" si="533"/>
        <v>5.7</v>
      </c>
      <c r="Q2127" s="7">
        <f t="shared" si="534"/>
        <v>25.815217391304348</v>
      </c>
      <c r="R2127" s="2">
        <v>1.2</v>
      </c>
      <c r="S2127" s="2">
        <f t="shared" si="524"/>
        <v>4.45</v>
      </c>
      <c r="T2127" s="2"/>
      <c r="U2127" s="2"/>
      <c r="Y2127" s="8">
        <f t="shared" si="522"/>
        <v>0.91902173913043483</v>
      </c>
    </row>
    <row r="2128" spans="1:25" x14ac:dyDescent="0.25">
      <c r="A2128" s="81">
        <f t="shared" si="530"/>
        <v>2109</v>
      </c>
      <c r="B2128" s="77">
        <f t="shared" si="530"/>
        <v>121</v>
      </c>
      <c r="C2128" s="82" t="s">
        <v>401</v>
      </c>
      <c r="D2128" s="80" t="s">
        <v>598</v>
      </c>
      <c r="E2128" s="80"/>
      <c r="F2128" s="65">
        <v>5.8000000000000003E-2</v>
      </c>
      <c r="G2128" s="65">
        <f t="shared" si="527"/>
        <v>1.1426E-2</v>
      </c>
      <c r="H2128" s="66">
        <v>2.9000000000000001E-2</v>
      </c>
      <c r="I2128" s="66">
        <f t="shared" si="526"/>
        <v>4.3499999999999997E-3</v>
      </c>
      <c r="J2128" s="32">
        <f t="shared" si="523"/>
        <v>6.4524999999999999E-2</v>
      </c>
      <c r="K2128" s="33">
        <f t="shared" si="531"/>
        <v>9.6787499999999999E-3</v>
      </c>
      <c r="L2128" s="52"/>
      <c r="O2128" s="2">
        <f t="shared" si="532"/>
        <v>1.2083333333333335E-2</v>
      </c>
      <c r="P2128" s="2">
        <f t="shared" si="533"/>
        <v>8.7000000000000011</v>
      </c>
      <c r="Q2128" s="7">
        <f t="shared" si="534"/>
        <v>39.402173913043484</v>
      </c>
      <c r="R2128" s="2">
        <v>1.2</v>
      </c>
      <c r="S2128" s="2">
        <f t="shared" si="524"/>
        <v>4.45</v>
      </c>
      <c r="T2128" s="2"/>
      <c r="U2128" s="2"/>
      <c r="Y2128" s="8">
        <f t="shared" si="522"/>
        <v>1.4027173913043478</v>
      </c>
    </row>
    <row r="2129" spans="1:25" x14ac:dyDescent="0.25">
      <c r="A2129" s="81">
        <f t="shared" si="530"/>
        <v>2110</v>
      </c>
      <c r="B2129" s="77">
        <f t="shared" si="530"/>
        <v>122</v>
      </c>
      <c r="C2129" s="82" t="s">
        <v>401</v>
      </c>
      <c r="D2129" s="80" t="s">
        <v>599</v>
      </c>
      <c r="E2129" s="80"/>
      <c r="F2129" s="65">
        <v>0.19</v>
      </c>
      <c r="G2129" s="65">
        <f t="shared" si="527"/>
        <v>3.7430000000000005E-2</v>
      </c>
      <c r="H2129" s="66">
        <v>2.76E-2</v>
      </c>
      <c r="I2129" s="66">
        <f t="shared" si="526"/>
        <v>4.1399999999999996E-3</v>
      </c>
      <c r="J2129" s="32">
        <f t="shared" si="523"/>
        <v>6.1409999999999999E-2</v>
      </c>
      <c r="K2129" s="33">
        <f t="shared" si="531"/>
        <v>9.2114999999999992E-3</v>
      </c>
      <c r="L2129" s="52"/>
      <c r="O2129" s="2">
        <f t="shared" si="532"/>
        <v>1.15E-2</v>
      </c>
      <c r="P2129" s="2">
        <f t="shared" si="533"/>
        <v>8.2800000000000011</v>
      </c>
      <c r="Q2129" s="7">
        <f t="shared" si="534"/>
        <v>37.500000000000007</v>
      </c>
      <c r="R2129" s="2">
        <v>1.2</v>
      </c>
      <c r="S2129" s="2">
        <f t="shared" si="524"/>
        <v>4.45</v>
      </c>
      <c r="T2129" s="2"/>
      <c r="U2129" s="2"/>
      <c r="Y2129" s="8">
        <f t="shared" si="522"/>
        <v>1.335</v>
      </c>
    </row>
    <row r="2130" spans="1:25" x14ac:dyDescent="0.25">
      <c r="A2130" s="81">
        <f t="shared" si="530"/>
        <v>2111</v>
      </c>
      <c r="B2130" s="77">
        <f t="shared" si="530"/>
        <v>123</v>
      </c>
      <c r="C2130" s="82" t="s">
        <v>401</v>
      </c>
      <c r="D2130" s="80" t="s">
        <v>600</v>
      </c>
      <c r="E2130" s="80"/>
      <c r="F2130" s="65">
        <v>0.17199999999999999</v>
      </c>
      <c r="G2130" s="65">
        <f t="shared" si="527"/>
        <v>3.3883999999999997E-2</v>
      </c>
      <c r="H2130" s="66">
        <v>8.2949999999999996E-2</v>
      </c>
      <c r="I2130" s="66">
        <f t="shared" si="526"/>
        <v>1.2442499999999999E-2</v>
      </c>
      <c r="J2130" s="32">
        <f t="shared" si="523"/>
        <v>0.18456375000000003</v>
      </c>
      <c r="K2130" s="33">
        <f t="shared" si="531"/>
        <v>2.7684562500000003E-2</v>
      </c>
      <c r="L2130" s="52"/>
      <c r="O2130" s="2">
        <f t="shared" si="532"/>
        <v>3.4562500000000003E-2</v>
      </c>
      <c r="P2130" s="2">
        <f t="shared" si="533"/>
        <v>24.885000000000005</v>
      </c>
      <c r="Q2130" s="7">
        <f t="shared" si="534"/>
        <v>112.70380434782611</v>
      </c>
      <c r="R2130" s="2">
        <v>1.2</v>
      </c>
      <c r="S2130" s="2">
        <f t="shared" si="524"/>
        <v>4.45</v>
      </c>
      <c r="T2130" s="2"/>
      <c r="U2130" s="2"/>
      <c r="Y2130" s="8">
        <f t="shared" si="522"/>
        <v>4.0122554347826096</v>
      </c>
    </row>
    <row r="2131" spans="1:25" x14ac:dyDescent="0.25">
      <c r="A2131" s="81">
        <f t="shared" si="530"/>
        <v>2112</v>
      </c>
      <c r="B2131" s="77">
        <f t="shared" si="530"/>
        <v>124</v>
      </c>
      <c r="C2131" s="76" t="s">
        <v>401</v>
      </c>
      <c r="D2131" s="78" t="s">
        <v>601</v>
      </c>
      <c r="E2131" s="78"/>
      <c r="F2131" s="65">
        <v>6.0220000000000003E-2</v>
      </c>
      <c r="G2131" s="65">
        <f t="shared" si="527"/>
        <v>1.1863340000000002E-2</v>
      </c>
      <c r="H2131" s="66">
        <v>1.5268E-2</v>
      </c>
      <c r="I2131" s="66">
        <f t="shared" si="526"/>
        <v>2.2902E-3</v>
      </c>
      <c r="J2131" s="32">
        <f t="shared" si="523"/>
        <v>3.3971300000000003E-2</v>
      </c>
      <c r="K2131" s="33">
        <f t="shared" si="531"/>
        <v>5.0956949999999999E-3</v>
      </c>
      <c r="L2131" s="24" t="s">
        <v>16</v>
      </c>
      <c r="O2131" s="2">
        <f t="shared" si="532"/>
        <v>6.3616666666666674E-3</v>
      </c>
      <c r="P2131" s="2">
        <f t="shared" si="533"/>
        <v>4.5804</v>
      </c>
      <c r="Q2131" s="7">
        <f t="shared" si="534"/>
        <v>20.744565217391305</v>
      </c>
      <c r="R2131" s="2">
        <v>1.2</v>
      </c>
      <c r="S2131" s="2">
        <f t="shared" si="524"/>
        <v>4.45</v>
      </c>
      <c r="T2131" s="2"/>
      <c r="U2131" s="2"/>
      <c r="Y2131" s="8">
        <f t="shared" si="522"/>
        <v>0.73850652173913056</v>
      </c>
    </row>
    <row r="2132" spans="1:25" x14ac:dyDescent="0.25">
      <c r="A2132" s="81">
        <f t="shared" si="530"/>
        <v>2113</v>
      </c>
      <c r="B2132" s="77">
        <f t="shared" si="530"/>
        <v>125</v>
      </c>
      <c r="C2132" s="76" t="s">
        <v>602</v>
      </c>
      <c r="D2132" s="78" t="s">
        <v>603</v>
      </c>
      <c r="E2132" s="78"/>
      <c r="F2132" s="65">
        <v>7.0999999999999994E-2</v>
      </c>
      <c r="G2132" s="65">
        <f t="shared" si="527"/>
        <v>1.3986999999999999E-2</v>
      </c>
      <c r="H2132" s="66">
        <v>7.0000000000000001E-3</v>
      </c>
      <c r="I2132" s="66">
        <f t="shared" si="526"/>
        <v>1.0499999999999999E-3</v>
      </c>
      <c r="J2132" s="32">
        <f t="shared" si="523"/>
        <v>1.5575E-2</v>
      </c>
      <c r="K2132" s="33">
        <f t="shared" si="531"/>
        <v>2.3362499999999998E-3</v>
      </c>
      <c r="L2132" s="52"/>
      <c r="O2132" s="2">
        <f t="shared" si="532"/>
        <v>2.9166666666666668E-3</v>
      </c>
      <c r="P2132" s="2">
        <f t="shared" si="533"/>
        <v>2.1</v>
      </c>
      <c r="Q2132" s="7">
        <f t="shared" si="534"/>
        <v>9.5108695652173925</v>
      </c>
      <c r="R2132" s="2">
        <v>1.2</v>
      </c>
      <c r="S2132" s="2">
        <f t="shared" si="524"/>
        <v>4.45</v>
      </c>
      <c r="T2132" s="2"/>
      <c r="U2132" s="2"/>
      <c r="Y2132" s="8">
        <f t="shared" si="522"/>
        <v>0.33858695652173915</v>
      </c>
    </row>
    <row r="2133" spans="1:25" x14ac:dyDescent="0.25">
      <c r="A2133" s="81">
        <f t="shared" si="530"/>
        <v>2114</v>
      </c>
      <c r="B2133" s="77">
        <f t="shared" si="530"/>
        <v>126</v>
      </c>
      <c r="C2133" s="82" t="s">
        <v>604</v>
      </c>
      <c r="D2133" s="80" t="s">
        <v>190</v>
      </c>
      <c r="E2133" s="80"/>
      <c r="F2133" s="65">
        <v>5.7820000000000003E-2</v>
      </c>
      <c r="G2133" s="65">
        <f t="shared" si="527"/>
        <v>1.1390540000000001E-2</v>
      </c>
      <c r="H2133" s="66">
        <v>4.4819999999999999E-2</v>
      </c>
      <c r="I2133" s="66">
        <f t="shared" si="526"/>
        <v>6.7229999999999998E-3</v>
      </c>
      <c r="J2133" s="32">
        <f t="shared" si="523"/>
        <v>9.9724500000000008E-2</v>
      </c>
      <c r="K2133" s="33">
        <f t="shared" si="531"/>
        <v>1.4958675000000001E-2</v>
      </c>
      <c r="L2133" s="52"/>
      <c r="O2133" s="2">
        <f t="shared" si="532"/>
        <v>1.8675000000000001E-2</v>
      </c>
      <c r="P2133" s="2">
        <f t="shared" si="533"/>
        <v>13.446000000000002</v>
      </c>
      <c r="Q2133" s="7">
        <f t="shared" si="534"/>
        <v>60.896739130434788</v>
      </c>
      <c r="R2133" s="2">
        <v>1.2</v>
      </c>
      <c r="S2133" s="2">
        <f t="shared" si="524"/>
        <v>4.45</v>
      </c>
      <c r="T2133" s="2"/>
      <c r="U2133" s="2"/>
      <c r="Y2133" s="8">
        <f t="shared" si="522"/>
        <v>2.1679239130434786</v>
      </c>
    </row>
    <row r="2134" spans="1:25" x14ac:dyDescent="0.25">
      <c r="A2134" s="81">
        <f t="shared" si="530"/>
        <v>2115</v>
      </c>
      <c r="B2134" s="77">
        <f t="shared" si="530"/>
        <v>127</v>
      </c>
      <c r="C2134" s="84" t="s">
        <v>604</v>
      </c>
      <c r="D2134" s="78" t="s">
        <v>94</v>
      </c>
      <c r="E2134" s="78"/>
      <c r="F2134" s="65">
        <v>0.14545</v>
      </c>
      <c r="G2134" s="65">
        <f t="shared" si="527"/>
        <v>2.8653649999999999E-2</v>
      </c>
      <c r="H2134" s="66">
        <v>0.111454</v>
      </c>
      <c r="I2134" s="66">
        <f t="shared" si="526"/>
        <v>1.67181E-2</v>
      </c>
      <c r="J2134" s="32">
        <f t="shared" si="523"/>
        <v>0.20618990000000004</v>
      </c>
      <c r="K2134" s="33">
        <f t="shared" si="531"/>
        <v>3.0928485000000006E-2</v>
      </c>
      <c r="L2134" s="52"/>
      <c r="O2134" s="2">
        <f t="shared" si="532"/>
        <v>4.643916666666667E-2</v>
      </c>
      <c r="P2134" s="2">
        <f t="shared" si="533"/>
        <v>33.436199999999999</v>
      </c>
      <c r="Q2134" s="7">
        <f t="shared" si="534"/>
        <v>151.43206521739131</v>
      </c>
      <c r="R2134" s="2">
        <v>1.2</v>
      </c>
      <c r="S2134" s="2">
        <f t="shared" si="524"/>
        <v>3.7</v>
      </c>
      <c r="T2134" s="2"/>
      <c r="U2134" s="2"/>
      <c r="Y2134" s="8">
        <f t="shared" si="522"/>
        <v>4.4823891304347834</v>
      </c>
    </row>
    <row r="2135" spans="1:25" x14ac:dyDescent="0.25">
      <c r="A2135" s="81">
        <f t="shared" si="530"/>
        <v>2116</v>
      </c>
      <c r="B2135" s="77">
        <f t="shared" si="530"/>
        <v>128</v>
      </c>
      <c r="C2135" s="82" t="s">
        <v>604</v>
      </c>
      <c r="D2135" s="80" t="s">
        <v>62</v>
      </c>
      <c r="E2135" s="80"/>
      <c r="F2135" s="65">
        <v>0.14502000000000001</v>
      </c>
      <c r="G2135" s="65">
        <f t="shared" si="527"/>
        <v>2.8568940000000004E-2</v>
      </c>
      <c r="H2135" s="66">
        <v>6.5059000000000006E-2</v>
      </c>
      <c r="I2135" s="66">
        <f t="shared" si="526"/>
        <v>9.7588500000000012E-3</v>
      </c>
      <c r="J2135" s="32">
        <f t="shared" si="523"/>
        <v>0.14475627500000002</v>
      </c>
      <c r="K2135" s="33">
        <f t="shared" si="531"/>
        <v>2.1713441250000003E-2</v>
      </c>
      <c r="L2135" s="24" t="s">
        <v>16</v>
      </c>
      <c r="O2135" s="2">
        <f t="shared" si="532"/>
        <v>2.7107916666666669E-2</v>
      </c>
      <c r="P2135" s="2">
        <f t="shared" si="533"/>
        <v>19.517700000000001</v>
      </c>
      <c r="Q2135" s="7">
        <f t="shared" si="534"/>
        <v>88.395380434782624</v>
      </c>
      <c r="R2135" s="2">
        <v>1.2</v>
      </c>
      <c r="S2135" s="2">
        <f t="shared" si="524"/>
        <v>4.45</v>
      </c>
      <c r="T2135" s="2"/>
      <c r="U2135" s="2"/>
      <c r="Y2135" s="8">
        <f t="shared" ref="Y2135:Y2198" si="535">J2135/46*1000</f>
        <v>3.1468755434782616</v>
      </c>
    </row>
    <row r="2136" spans="1:25" x14ac:dyDescent="0.25">
      <c r="A2136" s="81">
        <f t="shared" si="530"/>
        <v>2117</v>
      </c>
      <c r="B2136" s="77">
        <f t="shared" si="530"/>
        <v>129</v>
      </c>
      <c r="C2136" s="82" t="s">
        <v>604</v>
      </c>
      <c r="D2136" s="80" t="s">
        <v>605</v>
      </c>
      <c r="E2136" s="80"/>
      <c r="F2136" s="65">
        <v>0.15239</v>
      </c>
      <c r="G2136" s="65">
        <f t="shared" si="527"/>
        <v>3.0020830000000002E-2</v>
      </c>
      <c r="H2136" s="66">
        <v>0.125891</v>
      </c>
      <c r="I2136" s="66">
        <f>H2136*0.15</f>
        <v>1.8883649999999998E-2</v>
      </c>
      <c r="J2136" s="32">
        <f t="shared" ref="J2136:J2199" si="536">O2136*R2136*S2136</f>
        <v>0.23289835</v>
      </c>
      <c r="K2136" s="33">
        <f t="shared" si="531"/>
        <v>3.4934752499999999E-2</v>
      </c>
      <c r="L2136" s="52"/>
      <c r="O2136" s="2">
        <f t="shared" si="532"/>
        <v>5.2454583333333339E-2</v>
      </c>
      <c r="P2136" s="2">
        <f t="shared" si="533"/>
        <v>37.767300000000006</v>
      </c>
      <c r="Q2136" s="7">
        <f t="shared" si="534"/>
        <v>171.04755434782612</v>
      </c>
      <c r="R2136" s="2">
        <v>1.2</v>
      </c>
      <c r="S2136" s="2">
        <f t="shared" ref="S2136:S2199" si="537">IF(Q2136&lt;=$AE$6,$AF$6,IF(Q2136&lt;=$AE$7,$AF$7,IF(Q2136&lt;=$AE$8,$AF$8,IF(Q2136&lt;=$AE$9,$AF$9,IF(Q2136&lt;=$AE$10,$AF$10,0)))))</f>
        <v>3.7</v>
      </c>
      <c r="T2136" s="2"/>
      <c r="U2136" s="2"/>
      <c r="Y2136" s="8">
        <f t="shared" si="535"/>
        <v>5.0630076086956528</v>
      </c>
    </row>
    <row r="2137" spans="1:25" x14ac:dyDescent="0.25">
      <c r="A2137" s="81">
        <f t="shared" si="530"/>
        <v>2118</v>
      </c>
      <c r="B2137" s="77">
        <f t="shared" si="530"/>
        <v>130</v>
      </c>
      <c r="C2137" s="82" t="s">
        <v>604</v>
      </c>
      <c r="D2137" s="80" t="s">
        <v>606</v>
      </c>
      <c r="E2137" s="80"/>
      <c r="F2137" s="65">
        <v>0.17635000000000001</v>
      </c>
      <c r="G2137" s="65">
        <f t="shared" si="527"/>
        <v>3.474095E-2</v>
      </c>
      <c r="H2137" s="66">
        <v>0.10921599999999999</v>
      </c>
      <c r="I2137" s="66">
        <f t="shared" si="526"/>
        <v>1.6382399999999998E-2</v>
      </c>
      <c r="J2137" s="32">
        <f t="shared" si="536"/>
        <v>0.24300559999999999</v>
      </c>
      <c r="K2137" s="33">
        <f t="shared" si="531"/>
        <v>3.6450839999999998E-2</v>
      </c>
      <c r="L2137" s="52"/>
      <c r="O2137" s="2">
        <f t="shared" si="532"/>
        <v>4.5506666666666667E-2</v>
      </c>
      <c r="P2137" s="2">
        <f t="shared" si="533"/>
        <v>32.764800000000001</v>
      </c>
      <c r="Q2137" s="7">
        <f t="shared" si="534"/>
        <v>148.39130434782609</v>
      </c>
      <c r="R2137" s="2">
        <v>1.2</v>
      </c>
      <c r="S2137" s="2">
        <f t="shared" si="537"/>
        <v>4.45</v>
      </c>
      <c r="T2137" s="2"/>
      <c r="U2137" s="2"/>
      <c r="Y2137" s="8">
        <f t="shared" si="535"/>
        <v>5.282730434782609</v>
      </c>
    </row>
    <row r="2138" spans="1:25" x14ac:dyDescent="0.25">
      <c r="A2138" s="81">
        <f t="shared" ref="A2138:B2153" si="538">A2137+1</f>
        <v>2119</v>
      </c>
      <c r="B2138" s="77">
        <f t="shared" si="538"/>
        <v>131</v>
      </c>
      <c r="C2138" s="82" t="s">
        <v>604</v>
      </c>
      <c r="D2138" s="80" t="s">
        <v>607</v>
      </c>
      <c r="E2138" s="80"/>
      <c r="F2138" s="65">
        <v>0.15934000000000001</v>
      </c>
      <c r="G2138" s="65">
        <f t="shared" si="527"/>
        <v>3.1389980000000005E-2</v>
      </c>
      <c r="H2138" s="66">
        <v>0.14364299999999999</v>
      </c>
      <c r="I2138" s="66">
        <f t="shared" si="526"/>
        <v>2.1546449999999998E-2</v>
      </c>
      <c r="J2138" s="32">
        <f t="shared" si="536"/>
        <v>0.26573954999999999</v>
      </c>
      <c r="K2138" s="33">
        <f t="shared" si="531"/>
        <v>3.9860932499999994E-2</v>
      </c>
      <c r="L2138" s="52"/>
      <c r="O2138" s="2">
        <f t="shared" si="532"/>
        <v>5.9851250000000002E-2</v>
      </c>
      <c r="P2138" s="2">
        <f t="shared" si="533"/>
        <v>43.0929</v>
      </c>
      <c r="Q2138" s="7">
        <f t="shared" si="534"/>
        <v>195.1671195652174</v>
      </c>
      <c r="R2138" s="2">
        <v>1.2</v>
      </c>
      <c r="S2138" s="2">
        <f t="shared" si="537"/>
        <v>3.7</v>
      </c>
      <c r="T2138" s="2"/>
      <c r="U2138" s="2"/>
      <c r="Y2138" s="8">
        <f t="shared" si="535"/>
        <v>5.7769467391304348</v>
      </c>
    </row>
    <row r="2139" spans="1:25" x14ac:dyDescent="0.25">
      <c r="A2139" s="81">
        <f t="shared" si="538"/>
        <v>2120</v>
      </c>
      <c r="B2139" s="77">
        <f t="shared" si="538"/>
        <v>132</v>
      </c>
      <c r="C2139" s="82" t="s">
        <v>604</v>
      </c>
      <c r="D2139" s="80" t="s">
        <v>608</v>
      </c>
      <c r="E2139" s="80"/>
      <c r="F2139" s="65">
        <v>0.181448</v>
      </c>
      <c r="G2139" s="65">
        <f t="shared" si="527"/>
        <v>3.5745256000000003E-2</v>
      </c>
      <c r="H2139" s="66">
        <v>6.9181999999999994E-2</v>
      </c>
      <c r="I2139" s="66">
        <f t="shared" si="526"/>
        <v>1.0377299999999999E-2</v>
      </c>
      <c r="J2139" s="32">
        <f t="shared" si="536"/>
        <v>0.15392994999999998</v>
      </c>
      <c r="K2139" s="33">
        <f t="shared" si="531"/>
        <v>2.3089492499999996E-2</v>
      </c>
      <c r="L2139" s="52"/>
      <c r="O2139" s="2">
        <f t="shared" si="532"/>
        <v>2.8825833333333332E-2</v>
      </c>
      <c r="P2139" s="2">
        <f t="shared" si="533"/>
        <v>20.7546</v>
      </c>
      <c r="Q2139" s="7">
        <f t="shared" si="534"/>
        <v>93.997282608695656</v>
      </c>
      <c r="R2139" s="2">
        <v>1.2</v>
      </c>
      <c r="S2139" s="2">
        <f t="shared" si="537"/>
        <v>4.45</v>
      </c>
      <c r="T2139" s="2"/>
      <c r="U2139" s="2"/>
      <c r="Y2139" s="8">
        <f t="shared" si="535"/>
        <v>3.3463032608695649</v>
      </c>
    </row>
    <row r="2140" spans="1:25" x14ac:dyDescent="0.25">
      <c r="A2140" s="81">
        <f t="shared" si="538"/>
        <v>2121</v>
      </c>
      <c r="B2140" s="77">
        <f t="shared" si="538"/>
        <v>133</v>
      </c>
      <c r="C2140" s="82" t="s">
        <v>604</v>
      </c>
      <c r="D2140" s="80" t="s">
        <v>609</v>
      </c>
      <c r="E2140" s="80"/>
      <c r="F2140" s="65">
        <v>0.181448</v>
      </c>
      <c r="G2140" s="65">
        <f>F2140*0.197</f>
        <v>3.5745256000000003E-2</v>
      </c>
      <c r="H2140" s="66">
        <v>6.4766000000000004E-2</v>
      </c>
      <c r="I2140" s="66">
        <f t="shared" si="526"/>
        <v>9.7149000000000003E-3</v>
      </c>
      <c r="J2140" s="32">
        <f t="shared" si="536"/>
        <v>0.14410435000000002</v>
      </c>
      <c r="K2140" s="33">
        <f t="shared" si="531"/>
        <v>2.1615652500000002E-2</v>
      </c>
      <c r="L2140" s="52"/>
      <c r="O2140" s="2">
        <f t="shared" si="532"/>
        <v>2.6985833333333337E-2</v>
      </c>
      <c r="P2140" s="2">
        <f t="shared" si="533"/>
        <v>19.429800000000004</v>
      </c>
      <c r="Q2140" s="7">
        <f t="shared" si="534"/>
        <v>87.99728260869567</v>
      </c>
      <c r="R2140" s="2">
        <v>1.2</v>
      </c>
      <c r="S2140" s="2">
        <f t="shared" si="537"/>
        <v>4.45</v>
      </c>
      <c r="T2140" s="2"/>
      <c r="U2140" s="2"/>
      <c r="Y2140" s="8">
        <f t="shared" si="535"/>
        <v>3.1327032608695657</v>
      </c>
    </row>
    <row r="2141" spans="1:25" x14ac:dyDescent="0.25">
      <c r="A2141" s="81">
        <f t="shared" si="538"/>
        <v>2122</v>
      </c>
      <c r="B2141" s="77">
        <f t="shared" si="538"/>
        <v>134</v>
      </c>
      <c r="C2141" s="82" t="s">
        <v>604</v>
      </c>
      <c r="D2141" s="80" t="s">
        <v>610</v>
      </c>
      <c r="E2141" s="80"/>
      <c r="F2141" s="65">
        <v>0.40960099999999999</v>
      </c>
      <c r="G2141" s="65">
        <f t="shared" si="527"/>
        <v>8.0691396999999998E-2</v>
      </c>
      <c r="H2141" s="66">
        <v>0.149814</v>
      </c>
      <c r="I2141" s="66">
        <f t="shared" si="526"/>
        <v>2.2472099999999998E-2</v>
      </c>
      <c r="J2141" s="32">
        <f t="shared" si="536"/>
        <v>0.27715590000000001</v>
      </c>
      <c r="K2141" s="33">
        <f t="shared" si="531"/>
        <v>4.1573384999999997E-2</v>
      </c>
      <c r="L2141" s="52"/>
      <c r="O2141" s="2">
        <f t="shared" si="532"/>
        <v>6.2422500000000006E-2</v>
      </c>
      <c r="P2141" s="2">
        <f t="shared" si="533"/>
        <v>44.944200000000009</v>
      </c>
      <c r="Q2141" s="7">
        <f t="shared" si="534"/>
        <v>203.55163043478265</v>
      </c>
      <c r="R2141" s="2">
        <v>1.2</v>
      </c>
      <c r="S2141" s="2">
        <f t="shared" si="537"/>
        <v>3.7</v>
      </c>
      <c r="T2141" s="2"/>
      <c r="U2141" s="2"/>
      <c r="Y2141" s="8">
        <f t="shared" si="535"/>
        <v>6.0251282608695655</v>
      </c>
    </row>
    <row r="2142" spans="1:25" x14ac:dyDescent="0.25">
      <c r="A2142" s="81">
        <f t="shared" si="538"/>
        <v>2123</v>
      </c>
      <c r="B2142" s="77">
        <f t="shared" si="538"/>
        <v>135</v>
      </c>
      <c r="C2142" s="82" t="s">
        <v>604</v>
      </c>
      <c r="D2142" s="80" t="s">
        <v>34</v>
      </c>
      <c r="E2142" s="80"/>
      <c r="F2142" s="65">
        <v>0.13802</v>
      </c>
      <c r="G2142" s="65">
        <f t="shared" si="527"/>
        <v>2.7189940000000003E-2</v>
      </c>
      <c r="H2142" s="66">
        <v>0.14180499999999999</v>
      </c>
      <c r="I2142" s="66">
        <f>H2142*0.15</f>
        <v>2.1270749999999998E-2</v>
      </c>
      <c r="J2142" s="32">
        <f t="shared" si="536"/>
        <v>0.26233924999999997</v>
      </c>
      <c r="K2142" s="33">
        <f t="shared" si="531"/>
        <v>3.9350887499999994E-2</v>
      </c>
      <c r="L2142" s="52"/>
      <c r="O2142" s="2">
        <f t="shared" si="532"/>
        <v>5.9085416666666661E-2</v>
      </c>
      <c r="P2142" s="2">
        <f t="shared" si="533"/>
        <v>42.541499999999992</v>
      </c>
      <c r="Q2142" s="7">
        <f t="shared" si="534"/>
        <v>192.66983695652172</v>
      </c>
      <c r="R2142" s="2">
        <v>1.2</v>
      </c>
      <c r="S2142" s="2">
        <f t="shared" si="537"/>
        <v>3.7</v>
      </c>
      <c r="T2142" s="2"/>
      <c r="U2142" s="2"/>
      <c r="Y2142" s="8">
        <f t="shared" si="535"/>
        <v>5.7030271739130427</v>
      </c>
    </row>
    <row r="2143" spans="1:25" x14ac:dyDescent="0.25">
      <c r="A2143" s="81">
        <f t="shared" si="538"/>
        <v>2124</v>
      </c>
      <c r="B2143" s="77">
        <f t="shared" si="538"/>
        <v>136</v>
      </c>
      <c r="C2143" s="76" t="s">
        <v>611</v>
      </c>
      <c r="D2143" s="78" t="s">
        <v>612</v>
      </c>
      <c r="E2143" s="78"/>
      <c r="F2143" s="65">
        <v>6.2E-2</v>
      </c>
      <c r="G2143" s="65">
        <f t="shared" si="527"/>
        <v>1.2214000000000001E-2</v>
      </c>
      <c r="H2143" s="66">
        <v>3.3000000000000002E-2</v>
      </c>
      <c r="I2143" s="66">
        <f t="shared" si="526"/>
        <v>4.9500000000000004E-3</v>
      </c>
      <c r="J2143" s="32">
        <f t="shared" si="536"/>
        <v>7.3425000000000004E-2</v>
      </c>
      <c r="K2143" s="33">
        <f t="shared" si="531"/>
        <v>1.1013750000000001E-2</v>
      </c>
      <c r="L2143" s="52"/>
      <c r="O2143" s="2">
        <f t="shared" si="532"/>
        <v>1.3750000000000002E-2</v>
      </c>
      <c r="P2143" s="2">
        <f t="shared" si="533"/>
        <v>9.9000000000000021</v>
      </c>
      <c r="Q2143" s="7">
        <f t="shared" si="534"/>
        <v>44.83695652173914</v>
      </c>
      <c r="R2143" s="2">
        <v>1.2</v>
      </c>
      <c r="S2143" s="2">
        <f t="shared" si="537"/>
        <v>4.45</v>
      </c>
      <c r="T2143" s="2"/>
      <c r="U2143" s="2"/>
      <c r="Y2143" s="8">
        <f t="shared" si="535"/>
        <v>1.5961956521739131</v>
      </c>
    </row>
    <row r="2144" spans="1:25" x14ac:dyDescent="0.25">
      <c r="A2144" s="81">
        <f t="shared" si="538"/>
        <v>2125</v>
      </c>
      <c r="B2144" s="77">
        <f t="shared" si="538"/>
        <v>137</v>
      </c>
      <c r="C2144" s="82" t="s">
        <v>611</v>
      </c>
      <c r="D2144" s="80" t="s">
        <v>613</v>
      </c>
      <c r="E2144" s="80"/>
      <c r="F2144" s="65">
        <v>4.5999999999999999E-2</v>
      </c>
      <c r="G2144" s="65">
        <f t="shared" si="527"/>
        <v>9.0620000000000006E-3</v>
      </c>
      <c r="H2144" s="66">
        <v>2.3E-2</v>
      </c>
      <c r="I2144" s="66">
        <f t="shared" si="526"/>
        <v>3.4499999999999999E-3</v>
      </c>
      <c r="J2144" s="32">
        <f t="shared" si="536"/>
        <v>5.1175000000000012E-2</v>
      </c>
      <c r="K2144" s="33">
        <f t="shared" si="531"/>
        <v>7.6762500000000016E-3</v>
      </c>
      <c r="L2144" s="24" t="s">
        <v>16</v>
      </c>
      <c r="O2144" s="2">
        <f t="shared" si="532"/>
        <v>9.5833333333333343E-3</v>
      </c>
      <c r="P2144" s="2">
        <f t="shared" si="533"/>
        <v>6.9000000000000012</v>
      </c>
      <c r="Q2144" s="7">
        <f t="shared" si="534"/>
        <v>31.250000000000007</v>
      </c>
      <c r="R2144" s="2">
        <v>1.2</v>
      </c>
      <c r="S2144" s="2">
        <f t="shared" si="537"/>
        <v>4.45</v>
      </c>
      <c r="T2144" s="2"/>
      <c r="U2144" s="2"/>
      <c r="Y2144" s="8">
        <f t="shared" si="535"/>
        <v>1.1125000000000003</v>
      </c>
    </row>
    <row r="2145" spans="1:25" x14ac:dyDescent="0.25">
      <c r="A2145" s="81">
        <f t="shared" si="538"/>
        <v>2126</v>
      </c>
      <c r="B2145" s="77">
        <f t="shared" si="538"/>
        <v>138</v>
      </c>
      <c r="C2145" s="83" t="s">
        <v>611</v>
      </c>
      <c r="D2145" s="51">
        <v>162</v>
      </c>
      <c r="E2145" s="51"/>
      <c r="F2145" s="65">
        <v>0.35799999999999998</v>
      </c>
      <c r="G2145" s="65">
        <f t="shared" si="527"/>
        <v>7.0526000000000005E-2</v>
      </c>
      <c r="H2145" s="66">
        <v>8.8999999999999996E-2</v>
      </c>
      <c r="I2145" s="66">
        <f t="shared" ref="I2145:I2157" si="539">H2145*0.15</f>
        <v>1.3349999999999999E-2</v>
      </c>
      <c r="J2145" s="32">
        <f t="shared" si="536"/>
        <v>0.19802500000000003</v>
      </c>
      <c r="K2145" s="33">
        <f t="shared" si="531"/>
        <v>2.9703750000000004E-2</v>
      </c>
      <c r="L2145" s="24" t="s">
        <v>16</v>
      </c>
      <c r="O2145" s="2">
        <f t="shared" si="532"/>
        <v>3.7083333333333336E-2</v>
      </c>
      <c r="P2145" s="2">
        <f t="shared" si="533"/>
        <v>26.700000000000003</v>
      </c>
      <c r="Q2145" s="7">
        <f t="shared" si="534"/>
        <v>120.92391304347828</v>
      </c>
      <c r="R2145" s="2">
        <v>1.2</v>
      </c>
      <c r="S2145" s="2">
        <f t="shared" si="537"/>
        <v>4.45</v>
      </c>
      <c r="T2145" s="2"/>
      <c r="U2145" s="2"/>
      <c r="Y2145" s="8">
        <f t="shared" si="535"/>
        <v>4.3048913043478274</v>
      </c>
    </row>
    <row r="2146" spans="1:25" x14ac:dyDescent="0.25">
      <c r="A2146" s="81">
        <f t="shared" si="538"/>
        <v>2127</v>
      </c>
      <c r="B2146" s="77">
        <f t="shared" si="538"/>
        <v>139</v>
      </c>
      <c r="C2146" s="76" t="s">
        <v>614</v>
      </c>
      <c r="D2146" s="85" t="s">
        <v>307</v>
      </c>
      <c r="E2146" s="85"/>
      <c r="F2146" s="65">
        <v>0.16200000000000001</v>
      </c>
      <c r="G2146" s="65">
        <f t="shared" ref="G2146:G2172" si="540">F2146*0.197</f>
        <v>3.1914000000000005E-2</v>
      </c>
      <c r="H2146" s="66">
        <v>1.6E-2</v>
      </c>
      <c r="I2146" s="66">
        <f t="shared" si="539"/>
        <v>2.3999999999999998E-3</v>
      </c>
      <c r="J2146" s="32">
        <f t="shared" si="536"/>
        <v>3.56E-2</v>
      </c>
      <c r="K2146" s="33">
        <f t="shared" si="531"/>
        <v>5.3400000000000001E-3</v>
      </c>
      <c r="L2146" s="52"/>
      <c r="O2146" s="2">
        <f t="shared" si="532"/>
        <v>6.6666666666666671E-3</v>
      </c>
      <c r="P2146" s="2">
        <f t="shared" si="533"/>
        <v>4.8</v>
      </c>
      <c r="Q2146" s="7">
        <f t="shared" si="534"/>
        <v>21.739130434782609</v>
      </c>
      <c r="R2146" s="2">
        <v>1.2</v>
      </c>
      <c r="S2146" s="2">
        <f t="shared" si="537"/>
        <v>4.45</v>
      </c>
      <c r="T2146" s="2"/>
      <c r="U2146" s="2"/>
      <c r="Y2146" s="8">
        <f t="shared" si="535"/>
        <v>0.77391304347826095</v>
      </c>
    </row>
    <row r="2147" spans="1:25" x14ac:dyDescent="0.25">
      <c r="A2147" s="81">
        <f t="shared" si="538"/>
        <v>2128</v>
      </c>
      <c r="B2147" s="77">
        <f t="shared" si="538"/>
        <v>140</v>
      </c>
      <c r="C2147" s="76" t="s">
        <v>614</v>
      </c>
      <c r="D2147" s="85">
        <v>35</v>
      </c>
      <c r="E2147" s="85"/>
      <c r="F2147" s="65">
        <v>0.30099999999999999</v>
      </c>
      <c r="G2147" s="65">
        <f t="shared" si="540"/>
        <v>5.9297000000000002E-2</v>
      </c>
      <c r="H2147" s="66">
        <v>0.13600000000000001</v>
      </c>
      <c r="I2147" s="66">
        <f t="shared" si="539"/>
        <v>2.0400000000000001E-2</v>
      </c>
      <c r="J2147" s="32">
        <f t="shared" si="536"/>
        <v>0.25160000000000005</v>
      </c>
      <c r="K2147" s="33">
        <f t="shared" si="531"/>
        <v>3.7740000000000003E-2</v>
      </c>
      <c r="L2147" s="52"/>
      <c r="O2147" s="2">
        <f t="shared" si="532"/>
        <v>5.6666666666666671E-2</v>
      </c>
      <c r="P2147" s="2">
        <f t="shared" si="533"/>
        <v>40.800000000000004</v>
      </c>
      <c r="Q2147" s="7">
        <f t="shared" si="534"/>
        <v>184.78260869565219</v>
      </c>
      <c r="R2147" s="2">
        <v>1.2</v>
      </c>
      <c r="S2147" s="2">
        <f t="shared" si="537"/>
        <v>3.7</v>
      </c>
      <c r="T2147" s="2"/>
      <c r="U2147" s="2"/>
      <c r="Y2147" s="8">
        <f t="shared" si="535"/>
        <v>5.4695652173913052</v>
      </c>
    </row>
    <row r="2148" spans="1:25" x14ac:dyDescent="0.25">
      <c r="A2148" s="81">
        <f t="shared" si="538"/>
        <v>2129</v>
      </c>
      <c r="B2148" s="77">
        <f t="shared" si="538"/>
        <v>141</v>
      </c>
      <c r="C2148" s="82" t="s">
        <v>582</v>
      </c>
      <c r="D2148" s="80" t="s">
        <v>101</v>
      </c>
      <c r="E2148" s="80"/>
      <c r="F2148" s="65">
        <v>0.10095999999999999</v>
      </c>
      <c r="G2148" s="65">
        <f t="shared" si="540"/>
        <v>1.988912E-2</v>
      </c>
      <c r="H2148" s="66">
        <v>3.5878E-2</v>
      </c>
      <c r="I2148" s="66">
        <f t="shared" si="539"/>
        <v>5.3816999999999997E-3</v>
      </c>
      <c r="J2148" s="32">
        <f t="shared" si="536"/>
        <v>7.9828549999999998E-2</v>
      </c>
      <c r="K2148" s="33">
        <f t="shared" si="531"/>
        <v>1.1974282499999999E-2</v>
      </c>
      <c r="L2148" s="52"/>
      <c r="O2148" s="2">
        <f t="shared" si="532"/>
        <v>1.4949166666666668E-2</v>
      </c>
      <c r="P2148" s="2">
        <f t="shared" si="533"/>
        <v>10.763400000000001</v>
      </c>
      <c r="Q2148" s="7">
        <f t="shared" si="534"/>
        <v>48.747282608695656</v>
      </c>
      <c r="R2148" s="2">
        <v>1.2</v>
      </c>
      <c r="S2148" s="2">
        <f t="shared" si="537"/>
        <v>4.45</v>
      </c>
      <c r="T2148" s="2"/>
      <c r="U2148" s="2"/>
      <c r="Y2148" s="8">
        <f t="shared" si="535"/>
        <v>1.7354032608695653</v>
      </c>
    </row>
    <row r="2149" spans="1:25" x14ac:dyDescent="0.25">
      <c r="A2149" s="81">
        <f t="shared" si="538"/>
        <v>2130</v>
      </c>
      <c r="B2149" s="77">
        <f t="shared" si="538"/>
        <v>142</v>
      </c>
      <c r="C2149" s="121" t="s">
        <v>615</v>
      </c>
      <c r="D2149" s="122" t="s">
        <v>163</v>
      </c>
      <c r="E2149" s="78"/>
      <c r="F2149" s="65">
        <v>0.28499999999999998</v>
      </c>
      <c r="G2149" s="65">
        <f t="shared" si="540"/>
        <v>5.6145E-2</v>
      </c>
      <c r="H2149" s="66">
        <v>0</v>
      </c>
      <c r="I2149" s="66">
        <f t="shared" si="539"/>
        <v>0</v>
      </c>
      <c r="J2149" s="32">
        <f t="shared" si="536"/>
        <v>0</v>
      </c>
      <c r="K2149" s="33">
        <f t="shared" si="531"/>
        <v>0</v>
      </c>
      <c r="L2149" s="52"/>
      <c r="O2149" s="2">
        <f t="shared" si="532"/>
        <v>0</v>
      </c>
      <c r="P2149" s="2">
        <f t="shared" si="533"/>
        <v>0</v>
      </c>
      <c r="Q2149" s="7">
        <f t="shared" si="534"/>
        <v>0</v>
      </c>
      <c r="R2149" s="2">
        <v>1.2</v>
      </c>
      <c r="S2149" s="2">
        <f t="shared" si="537"/>
        <v>4.45</v>
      </c>
      <c r="T2149" s="2"/>
      <c r="U2149" s="2"/>
      <c r="Y2149" s="8">
        <f t="shared" si="535"/>
        <v>0</v>
      </c>
    </row>
    <row r="2150" spans="1:25" x14ac:dyDescent="0.25">
      <c r="A2150" s="81">
        <f t="shared" si="538"/>
        <v>2131</v>
      </c>
      <c r="B2150" s="77">
        <f t="shared" si="538"/>
        <v>143</v>
      </c>
      <c r="C2150" s="121"/>
      <c r="D2150" s="122"/>
      <c r="E2150" s="78"/>
      <c r="F2150" s="65">
        <v>0.28499999999999998</v>
      </c>
      <c r="G2150" s="65">
        <f t="shared" si="540"/>
        <v>5.6145E-2</v>
      </c>
      <c r="H2150" s="66">
        <v>0</v>
      </c>
      <c r="I2150" s="66">
        <f t="shared" si="539"/>
        <v>0</v>
      </c>
      <c r="J2150" s="32">
        <f t="shared" si="536"/>
        <v>0</v>
      </c>
      <c r="K2150" s="33">
        <f t="shared" si="531"/>
        <v>0</v>
      </c>
      <c r="L2150" s="52"/>
      <c r="O2150" s="2">
        <f t="shared" si="532"/>
        <v>0</v>
      </c>
      <c r="P2150" s="2">
        <f t="shared" si="533"/>
        <v>0</v>
      </c>
      <c r="Q2150" s="7">
        <f t="shared" si="534"/>
        <v>0</v>
      </c>
      <c r="R2150" s="2">
        <v>1.2</v>
      </c>
      <c r="S2150" s="2">
        <f t="shared" si="537"/>
        <v>4.45</v>
      </c>
      <c r="T2150" s="2"/>
      <c r="U2150" s="2"/>
      <c r="Y2150" s="8">
        <f t="shared" si="535"/>
        <v>0</v>
      </c>
    </row>
    <row r="2151" spans="1:25" x14ac:dyDescent="0.25">
      <c r="A2151" s="81">
        <f t="shared" si="538"/>
        <v>2132</v>
      </c>
      <c r="B2151" s="77">
        <f t="shared" si="538"/>
        <v>144</v>
      </c>
      <c r="C2151" s="121"/>
      <c r="D2151" s="122"/>
      <c r="E2151" s="78"/>
      <c r="F2151" s="65">
        <v>0.28499999999999998</v>
      </c>
      <c r="G2151" s="65">
        <f t="shared" si="540"/>
        <v>5.6145E-2</v>
      </c>
      <c r="H2151" s="66">
        <v>0</v>
      </c>
      <c r="I2151" s="66">
        <f t="shared" si="539"/>
        <v>0</v>
      </c>
      <c r="J2151" s="32">
        <f t="shared" si="536"/>
        <v>0</v>
      </c>
      <c r="K2151" s="33">
        <f t="shared" si="531"/>
        <v>0</v>
      </c>
      <c r="L2151" s="52"/>
      <c r="O2151" s="2">
        <f t="shared" si="532"/>
        <v>0</v>
      </c>
      <c r="P2151" s="2">
        <f t="shared" si="533"/>
        <v>0</v>
      </c>
      <c r="Q2151" s="7">
        <f t="shared" si="534"/>
        <v>0</v>
      </c>
      <c r="R2151" s="2">
        <v>1.2</v>
      </c>
      <c r="S2151" s="2">
        <f t="shared" si="537"/>
        <v>4.45</v>
      </c>
      <c r="T2151" s="2"/>
      <c r="U2151" s="2"/>
      <c r="Y2151" s="8">
        <f t="shared" si="535"/>
        <v>0</v>
      </c>
    </row>
    <row r="2152" spans="1:25" x14ac:dyDescent="0.25">
      <c r="A2152" s="81">
        <f t="shared" si="538"/>
        <v>2133</v>
      </c>
      <c r="B2152" s="77">
        <f t="shared" si="538"/>
        <v>145</v>
      </c>
      <c r="C2152" s="83" t="s">
        <v>616</v>
      </c>
      <c r="D2152" s="51">
        <v>46</v>
      </c>
      <c r="E2152" s="51"/>
      <c r="F2152" s="65">
        <v>8.4879999999999997E-2</v>
      </c>
      <c r="G2152" s="65">
        <f t="shared" si="540"/>
        <v>1.6721360000000001E-2</v>
      </c>
      <c r="H2152" s="66">
        <v>3.6819999999999999E-2</v>
      </c>
      <c r="I2152" s="66">
        <f t="shared" si="539"/>
        <v>5.5229999999999993E-3</v>
      </c>
      <c r="J2152" s="32">
        <f t="shared" si="536"/>
        <v>8.1924499999999997E-2</v>
      </c>
      <c r="K2152" s="33">
        <f t="shared" si="531"/>
        <v>1.2288674999999999E-2</v>
      </c>
      <c r="L2152" s="52"/>
      <c r="O2152" s="2">
        <f t="shared" si="532"/>
        <v>1.5341666666666667E-2</v>
      </c>
      <c r="P2152" s="2">
        <f t="shared" si="533"/>
        <v>11.045999999999999</v>
      </c>
      <c r="Q2152" s="7">
        <f t="shared" si="534"/>
        <v>50.027173913043477</v>
      </c>
      <c r="R2152" s="2">
        <v>1.2</v>
      </c>
      <c r="S2152" s="2">
        <f t="shared" si="537"/>
        <v>4.45</v>
      </c>
      <c r="T2152" s="2"/>
      <c r="U2152" s="2"/>
      <c r="Y2152" s="8">
        <f t="shared" si="535"/>
        <v>1.7809673913043478</v>
      </c>
    </row>
    <row r="2153" spans="1:25" x14ac:dyDescent="0.25">
      <c r="A2153" s="81">
        <f t="shared" si="538"/>
        <v>2134</v>
      </c>
      <c r="B2153" s="77">
        <f t="shared" si="538"/>
        <v>146</v>
      </c>
      <c r="C2153" s="83" t="s">
        <v>614</v>
      </c>
      <c r="D2153" s="51" t="s">
        <v>155</v>
      </c>
      <c r="E2153" s="51"/>
      <c r="F2153" s="65">
        <v>0.126</v>
      </c>
      <c r="G2153" s="65">
        <f t="shared" si="540"/>
        <v>2.4822E-2</v>
      </c>
      <c r="H2153" s="66">
        <v>1.9800000000000002E-2</v>
      </c>
      <c r="I2153" s="66">
        <f t="shared" si="539"/>
        <v>2.97E-3</v>
      </c>
      <c r="J2153" s="32">
        <f t="shared" si="536"/>
        <v>4.4055000000000004E-2</v>
      </c>
      <c r="K2153" s="33">
        <f t="shared" si="531"/>
        <v>6.6082500000000004E-3</v>
      </c>
      <c r="L2153" s="52"/>
      <c r="O2153" s="2">
        <f t="shared" si="532"/>
        <v>8.2500000000000004E-3</v>
      </c>
      <c r="P2153" s="2">
        <f t="shared" si="533"/>
        <v>5.94</v>
      </c>
      <c r="Q2153" s="7">
        <f t="shared" si="534"/>
        <v>26.90217391304348</v>
      </c>
      <c r="R2153" s="2">
        <v>1.2</v>
      </c>
      <c r="S2153" s="2">
        <f t="shared" si="537"/>
        <v>4.45</v>
      </c>
      <c r="T2153" s="2"/>
      <c r="U2153" s="2"/>
      <c r="Y2153" s="8">
        <f t="shared" si="535"/>
        <v>0.95771739130434796</v>
      </c>
    </row>
    <row r="2154" spans="1:25" x14ac:dyDescent="0.25">
      <c r="A2154" s="81">
        <f t="shared" ref="A2154:B2169" si="541">A2153+1</f>
        <v>2135</v>
      </c>
      <c r="B2154" s="35">
        <f t="shared" si="541"/>
        <v>147</v>
      </c>
      <c r="C2154" s="82" t="s">
        <v>392</v>
      </c>
      <c r="D2154" s="34" t="s">
        <v>617</v>
      </c>
      <c r="E2154" s="34"/>
      <c r="F2154" s="65">
        <v>7.8E-2</v>
      </c>
      <c r="G2154" s="65">
        <f t="shared" si="540"/>
        <v>1.5366000000000001E-2</v>
      </c>
      <c r="H2154" s="66">
        <v>3.3000000000000002E-2</v>
      </c>
      <c r="I2154" s="66">
        <f t="shared" si="539"/>
        <v>4.9500000000000004E-3</v>
      </c>
      <c r="J2154" s="32">
        <f t="shared" si="536"/>
        <v>7.3425000000000004E-2</v>
      </c>
      <c r="K2154" s="33">
        <f t="shared" si="531"/>
        <v>1.1013750000000001E-2</v>
      </c>
      <c r="L2154" s="24" t="s">
        <v>16</v>
      </c>
      <c r="O2154" s="2">
        <f t="shared" si="532"/>
        <v>1.3750000000000002E-2</v>
      </c>
      <c r="P2154" s="2">
        <f t="shared" si="533"/>
        <v>9.9000000000000021</v>
      </c>
      <c r="Q2154" s="7">
        <f t="shared" si="534"/>
        <v>44.83695652173914</v>
      </c>
      <c r="R2154" s="2">
        <v>1.2</v>
      </c>
      <c r="S2154" s="2">
        <f t="shared" si="537"/>
        <v>4.45</v>
      </c>
      <c r="T2154" s="2"/>
      <c r="U2154" s="2"/>
      <c r="Y2154" s="8">
        <f t="shared" si="535"/>
        <v>1.5961956521739131</v>
      </c>
    </row>
    <row r="2155" spans="1:25" x14ac:dyDescent="0.25">
      <c r="A2155" s="81">
        <f t="shared" si="541"/>
        <v>2136</v>
      </c>
      <c r="B2155" s="35">
        <f t="shared" si="541"/>
        <v>148</v>
      </c>
      <c r="C2155" s="82" t="s">
        <v>392</v>
      </c>
      <c r="D2155" s="80" t="s">
        <v>618</v>
      </c>
      <c r="E2155" s="80"/>
      <c r="F2155" s="65">
        <v>7.6960000000000001E-2</v>
      </c>
      <c r="G2155" s="65">
        <f t="shared" si="540"/>
        <v>1.516112E-2</v>
      </c>
      <c r="H2155" s="66">
        <v>1.7915E-2</v>
      </c>
      <c r="I2155" s="66">
        <f>H2155*0.15</f>
        <v>2.68725E-3</v>
      </c>
      <c r="J2155" s="32">
        <f t="shared" si="536"/>
        <v>3.9860875000000004E-2</v>
      </c>
      <c r="K2155" s="33">
        <f t="shared" si="531"/>
        <v>5.9791312500000002E-3</v>
      </c>
      <c r="L2155" s="52"/>
      <c r="O2155" s="2">
        <f t="shared" si="532"/>
        <v>7.4645833333333335E-3</v>
      </c>
      <c r="P2155" s="2">
        <f t="shared" si="533"/>
        <v>5.3745000000000003</v>
      </c>
      <c r="Q2155" s="7">
        <f t="shared" si="534"/>
        <v>24.341032608695652</v>
      </c>
      <c r="R2155" s="2">
        <v>1.2</v>
      </c>
      <c r="S2155" s="2">
        <f t="shared" si="537"/>
        <v>4.45</v>
      </c>
      <c r="T2155" s="2"/>
      <c r="U2155" s="2"/>
      <c r="Y2155" s="8">
        <f t="shared" si="535"/>
        <v>0.86654076086956533</v>
      </c>
    </row>
    <row r="2156" spans="1:25" x14ac:dyDescent="0.25">
      <c r="A2156" s="70">
        <f t="shared" si="541"/>
        <v>2137</v>
      </c>
      <c r="B2156" s="35">
        <f t="shared" si="541"/>
        <v>149</v>
      </c>
      <c r="C2156" s="82" t="s">
        <v>392</v>
      </c>
      <c r="D2156" s="80" t="s">
        <v>619</v>
      </c>
      <c r="E2156" s="80"/>
      <c r="F2156" s="65">
        <v>7.4590000000000004E-2</v>
      </c>
      <c r="G2156" s="65">
        <f t="shared" si="540"/>
        <v>1.4694230000000001E-2</v>
      </c>
      <c r="H2156" s="66">
        <v>2.3337E-2</v>
      </c>
      <c r="I2156" s="66">
        <f t="shared" si="539"/>
        <v>3.5005499999999998E-3</v>
      </c>
      <c r="J2156" s="32">
        <f t="shared" si="536"/>
        <v>5.1924825000000001E-2</v>
      </c>
      <c r="K2156" s="33">
        <f t="shared" si="531"/>
        <v>7.7887237499999996E-3</v>
      </c>
      <c r="L2156" s="52"/>
      <c r="O2156" s="2">
        <f t="shared" si="532"/>
        <v>9.7237499999999998E-3</v>
      </c>
      <c r="P2156" s="2">
        <f t="shared" si="533"/>
        <v>7.0011000000000001</v>
      </c>
      <c r="Q2156" s="7">
        <f t="shared" si="534"/>
        <v>31.707880434782609</v>
      </c>
      <c r="R2156" s="2">
        <v>1.2</v>
      </c>
      <c r="S2156" s="2">
        <f t="shared" si="537"/>
        <v>4.45</v>
      </c>
      <c r="T2156" s="2"/>
      <c r="U2156" s="2"/>
      <c r="Y2156" s="8">
        <f t="shared" si="535"/>
        <v>1.1288005434782611</v>
      </c>
    </row>
    <row r="2157" spans="1:25" x14ac:dyDescent="0.25">
      <c r="A2157" s="70">
        <f t="shared" si="541"/>
        <v>2138</v>
      </c>
      <c r="B2157" s="35">
        <f t="shared" si="541"/>
        <v>150</v>
      </c>
      <c r="C2157" s="82" t="s">
        <v>597</v>
      </c>
      <c r="D2157" s="80" t="s">
        <v>620</v>
      </c>
      <c r="E2157" s="80"/>
      <c r="F2157" s="65">
        <v>0.06</v>
      </c>
      <c r="G2157" s="65">
        <f t="shared" si="540"/>
        <v>1.1820000000000001E-2</v>
      </c>
      <c r="H2157" s="66">
        <v>2.1999999999999999E-2</v>
      </c>
      <c r="I2157" s="66">
        <f t="shared" si="539"/>
        <v>3.2999999999999995E-3</v>
      </c>
      <c r="J2157" s="32">
        <f t="shared" si="536"/>
        <v>4.895E-2</v>
      </c>
      <c r="K2157" s="33">
        <f t="shared" si="531"/>
        <v>7.3425000000000001E-3</v>
      </c>
      <c r="L2157" s="33"/>
      <c r="O2157" s="2">
        <f t="shared" si="532"/>
        <v>9.1666666666666667E-3</v>
      </c>
      <c r="P2157" s="2">
        <f t="shared" si="533"/>
        <v>6.6</v>
      </c>
      <c r="Q2157" s="7">
        <f t="shared" si="534"/>
        <v>29.891304347826086</v>
      </c>
      <c r="R2157" s="2">
        <v>1.2</v>
      </c>
      <c r="S2157" s="2">
        <f t="shared" si="537"/>
        <v>4.45</v>
      </c>
      <c r="T2157" s="2"/>
      <c r="U2157" s="2"/>
      <c r="Y2157" s="8">
        <f t="shared" si="535"/>
        <v>1.0641304347826088</v>
      </c>
    </row>
    <row r="2158" spans="1:25" x14ac:dyDescent="0.25">
      <c r="A2158" s="70">
        <f t="shared" si="541"/>
        <v>2139</v>
      </c>
      <c r="B2158" s="35">
        <f t="shared" si="541"/>
        <v>151</v>
      </c>
      <c r="C2158" s="83" t="s">
        <v>621</v>
      </c>
      <c r="D2158" s="51">
        <v>61</v>
      </c>
      <c r="E2158" s="51"/>
      <c r="F2158" s="65">
        <v>6.0727000000000003E-2</v>
      </c>
      <c r="G2158" s="65">
        <f t="shared" si="540"/>
        <v>1.1963219000000001E-2</v>
      </c>
      <c r="H2158" s="66">
        <v>1.0846E-2</v>
      </c>
      <c r="I2158" s="66">
        <f>H2158*0.15</f>
        <v>1.6268999999999999E-3</v>
      </c>
      <c r="J2158" s="32">
        <f t="shared" si="536"/>
        <v>2.413235E-2</v>
      </c>
      <c r="K2158" s="33">
        <f t="shared" si="531"/>
        <v>3.6198525E-3</v>
      </c>
      <c r="L2158" s="33"/>
      <c r="O2158" s="2">
        <f t="shared" si="532"/>
        <v>4.519166666666667E-3</v>
      </c>
      <c r="P2158" s="2">
        <f t="shared" si="533"/>
        <v>3.2538</v>
      </c>
      <c r="Q2158" s="7">
        <f t="shared" si="534"/>
        <v>14.736413043478262</v>
      </c>
      <c r="R2158" s="2">
        <v>1.2</v>
      </c>
      <c r="S2158" s="2">
        <f t="shared" si="537"/>
        <v>4.45</v>
      </c>
      <c r="T2158" s="2"/>
      <c r="U2158" s="2"/>
      <c r="Y2158" s="8">
        <f t="shared" si="535"/>
        <v>0.52461630434782613</v>
      </c>
    </row>
    <row r="2159" spans="1:25" x14ac:dyDescent="0.25">
      <c r="A2159" s="70">
        <f t="shared" si="541"/>
        <v>2140</v>
      </c>
      <c r="B2159" s="77">
        <f>B2158+1</f>
        <v>152</v>
      </c>
      <c r="C2159" s="83" t="s">
        <v>622</v>
      </c>
      <c r="D2159" s="51">
        <v>17</v>
      </c>
      <c r="E2159" s="51"/>
      <c r="F2159" s="65">
        <v>0.14990400000000001</v>
      </c>
      <c r="G2159" s="65">
        <f t="shared" si="540"/>
        <v>2.9531088000000004E-2</v>
      </c>
      <c r="H2159" s="66">
        <v>8.9954000000000006E-2</v>
      </c>
      <c r="I2159" s="66">
        <f t="shared" ref="I2159:I2172" si="542">H2159*0.15</f>
        <v>1.3493100000000001E-2</v>
      </c>
      <c r="J2159" s="32">
        <f t="shared" si="536"/>
        <v>0.20014765000000001</v>
      </c>
      <c r="K2159" s="33">
        <f t="shared" si="531"/>
        <v>3.0022147499999999E-2</v>
      </c>
      <c r="L2159" s="33"/>
      <c r="O2159" s="2">
        <f t="shared" si="532"/>
        <v>3.7480833333333338E-2</v>
      </c>
      <c r="P2159" s="2">
        <f t="shared" si="533"/>
        <v>26.986200000000004</v>
      </c>
      <c r="Q2159" s="7">
        <f t="shared" si="534"/>
        <v>122.22010869565219</v>
      </c>
      <c r="R2159" s="2">
        <v>1.2</v>
      </c>
      <c r="S2159" s="2">
        <f t="shared" si="537"/>
        <v>4.45</v>
      </c>
      <c r="T2159" s="2"/>
      <c r="U2159" s="2"/>
      <c r="Y2159" s="8">
        <f t="shared" si="535"/>
        <v>4.3510358695652176</v>
      </c>
    </row>
    <row r="2160" spans="1:25" x14ac:dyDescent="0.25">
      <c r="A2160" s="70">
        <f t="shared" si="541"/>
        <v>2141</v>
      </c>
      <c r="B2160" s="77">
        <f t="shared" si="541"/>
        <v>153</v>
      </c>
      <c r="C2160" s="83" t="s">
        <v>623</v>
      </c>
      <c r="D2160" s="51">
        <v>52</v>
      </c>
      <c r="E2160" s="51"/>
      <c r="F2160" s="65">
        <v>8.7242300000000009E-2</v>
      </c>
      <c r="G2160" s="65">
        <f t="shared" si="540"/>
        <v>1.7186733100000004E-2</v>
      </c>
      <c r="H2160" s="66">
        <v>4.3187999999999997E-2</v>
      </c>
      <c r="I2160" s="66">
        <f t="shared" si="542"/>
        <v>6.4781999999999991E-3</v>
      </c>
      <c r="J2160" s="32">
        <f t="shared" si="536"/>
        <v>9.6093299999999993E-2</v>
      </c>
      <c r="K2160" s="33">
        <f t="shared" si="531"/>
        <v>1.4413994999999999E-2</v>
      </c>
      <c r="L2160" s="33"/>
      <c r="O2160" s="2">
        <f t="shared" si="532"/>
        <v>1.7995000000000001E-2</v>
      </c>
      <c r="P2160" s="2">
        <f t="shared" si="533"/>
        <v>12.956400000000002</v>
      </c>
      <c r="Q2160" s="7">
        <f t="shared" si="534"/>
        <v>58.679347826086968</v>
      </c>
      <c r="R2160" s="2">
        <v>1.2</v>
      </c>
      <c r="S2160" s="2">
        <f t="shared" si="537"/>
        <v>4.45</v>
      </c>
      <c r="T2160" s="2"/>
      <c r="U2160" s="2"/>
      <c r="Y2160" s="8">
        <f t="shared" si="535"/>
        <v>2.0889847826086956</v>
      </c>
    </row>
    <row r="2161" spans="1:25" x14ac:dyDescent="0.25">
      <c r="A2161" s="70">
        <f t="shared" si="541"/>
        <v>2142</v>
      </c>
      <c r="B2161" s="77">
        <f t="shared" si="541"/>
        <v>154</v>
      </c>
      <c r="C2161" s="83" t="s">
        <v>624</v>
      </c>
      <c r="D2161" s="86" t="s">
        <v>277</v>
      </c>
      <c r="E2161" s="51"/>
      <c r="F2161" s="65">
        <v>0.22401230999999999</v>
      </c>
      <c r="G2161" s="65">
        <f t="shared" si="540"/>
        <v>4.413042507E-2</v>
      </c>
      <c r="H2161" s="66">
        <v>7.0655999999999997E-2</v>
      </c>
      <c r="I2161" s="66">
        <f t="shared" si="542"/>
        <v>1.0598399999999999E-2</v>
      </c>
      <c r="J2161" s="32">
        <f t="shared" si="536"/>
        <v>0.1572096</v>
      </c>
      <c r="K2161" s="33">
        <f t="shared" si="531"/>
        <v>2.3581439999999999E-2</v>
      </c>
      <c r="L2161" s="33"/>
      <c r="O2161" s="2">
        <f t="shared" si="532"/>
        <v>2.9440000000000001E-2</v>
      </c>
      <c r="P2161" s="2">
        <f t="shared" si="533"/>
        <v>21.196800000000003</v>
      </c>
      <c r="Q2161" s="7">
        <f t="shared" si="534"/>
        <v>96.000000000000014</v>
      </c>
      <c r="R2161" s="2">
        <v>1.2</v>
      </c>
      <c r="S2161" s="2">
        <f t="shared" si="537"/>
        <v>4.45</v>
      </c>
      <c r="T2161" s="2"/>
      <c r="U2161" s="2"/>
      <c r="Y2161" s="8">
        <f t="shared" si="535"/>
        <v>3.4176000000000002</v>
      </c>
    </row>
    <row r="2162" spans="1:25" x14ac:dyDescent="0.25">
      <c r="A2162" s="70">
        <f t="shared" si="541"/>
        <v>2143</v>
      </c>
      <c r="B2162" s="77">
        <f t="shared" si="541"/>
        <v>155</v>
      </c>
      <c r="C2162" s="83" t="s">
        <v>625</v>
      </c>
      <c r="D2162" s="86" t="s">
        <v>626</v>
      </c>
      <c r="E2162" s="51"/>
      <c r="F2162" s="65">
        <v>8.0560000000000007E-2</v>
      </c>
      <c r="G2162" s="65">
        <f t="shared" si="540"/>
        <v>1.587032E-2</v>
      </c>
      <c r="H2162" s="66">
        <v>1.2671999999999999E-2</v>
      </c>
      <c r="I2162" s="66">
        <f t="shared" si="542"/>
        <v>1.9007999999999998E-3</v>
      </c>
      <c r="J2162" s="32">
        <f t="shared" si="536"/>
        <v>2.81952E-2</v>
      </c>
      <c r="K2162" s="33">
        <f t="shared" si="531"/>
        <v>4.2292800000000002E-3</v>
      </c>
      <c r="L2162" s="33"/>
      <c r="O2162" s="2">
        <f t="shared" si="532"/>
        <v>5.28E-3</v>
      </c>
      <c r="P2162" s="2">
        <f t="shared" si="533"/>
        <v>3.8016000000000001</v>
      </c>
      <c r="Q2162" s="7">
        <f t="shared" si="534"/>
        <v>17.217391304347828</v>
      </c>
      <c r="R2162" s="2">
        <v>1.2</v>
      </c>
      <c r="S2162" s="2">
        <f t="shared" si="537"/>
        <v>4.45</v>
      </c>
      <c r="T2162" s="2"/>
      <c r="U2162" s="2"/>
      <c r="Y2162" s="8">
        <f t="shared" si="535"/>
        <v>0.61293913043478265</v>
      </c>
    </row>
    <row r="2163" spans="1:25" x14ac:dyDescent="0.25">
      <c r="A2163" s="70">
        <f t="shared" si="541"/>
        <v>2144</v>
      </c>
      <c r="B2163" s="77">
        <f t="shared" si="541"/>
        <v>156</v>
      </c>
      <c r="C2163" s="83" t="s">
        <v>627</v>
      </c>
      <c r="D2163" s="86" t="s">
        <v>628</v>
      </c>
      <c r="E2163" s="51"/>
      <c r="F2163" s="65">
        <v>0.15158199999999999</v>
      </c>
      <c r="G2163" s="65">
        <f t="shared" si="540"/>
        <v>2.9861654000000001E-2</v>
      </c>
      <c r="H2163" s="66">
        <v>8.1886E-2</v>
      </c>
      <c r="I2163" s="66">
        <f t="shared" si="542"/>
        <v>1.2282899999999999E-2</v>
      </c>
      <c r="J2163" s="32">
        <f t="shared" si="536"/>
        <v>0.18219635000000001</v>
      </c>
      <c r="K2163" s="33">
        <f t="shared" si="531"/>
        <v>2.73294525E-2</v>
      </c>
      <c r="L2163" s="33"/>
      <c r="O2163" s="2">
        <f t="shared" si="532"/>
        <v>3.4119166666666666E-2</v>
      </c>
      <c r="P2163" s="2">
        <f t="shared" si="533"/>
        <v>24.565799999999996</v>
      </c>
      <c r="Q2163" s="7">
        <f t="shared" si="534"/>
        <v>111.25815217391303</v>
      </c>
      <c r="R2163" s="2">
        <v>1.2</v>
      </c>
      <c r="S2163" s="2">
        <f t="shared" si="537"/>
        <v>4.45</v>
      </c>
      <c r="T2163" s="2"/>
      <c r="U2163" s="2"/>
      <c r="Y2163" s="8">
        <f t="shared" si="535"/>
        <v>3.9607902173913043</v>
      </c>
    </row>
    <row r="2164" spans="1:25" x14ac:dyDescent="0.25">
      <c r="A2164" s="70">
        <f t="shared" si="541"/>
        <v>2145</v>
      </c>
      <c r="B2164" s="77">
        <f t="shared" si="541"/>
        <v>157</v>
      </c>
      <c r="C2164" s="83" t="s">
        <v>629</v>
      </c>
      <c r="D2164" s="86" t="s">
        <v>121</v>
      </c>
      <c r="E2164" s="51"/>
      <c r="F2164" s="65">
        <v>0.12464600000000001</v>
      </c>
      <c r="G2164" s="65">
        <f t="shared" si="540"/>
        <v>2.4555262000000001E-2</v>
      </c>
      <c r="H2164" s="66">
        <v>4.4642000000000001E-2</v>
      </c>
      <c r="I2164" s="66">
        <f t="shared" si="542"/>
        <v>6.6962999999999996E-3</v>
      </c>
      <c r="J2164" s="32">
        <f t="shared" si="536"/>
        <v>9.9328450000000013E-2</v>
      </c>
      <c r="K2164" s="33">
        <f t="shared" si="531"/>
        <v>1.48992675E-2</v>
      </c>
      <c r="L2164" s="33"/>
      <c r="O2164" s="2">
        <f t="shared" si="532"/>
        <v>1.8600833333333334E-2</v>
      </c>
      <c r="P2164" s="2">
        <f t="shared" si="533"/>
        <v>13.392600000000002</v>
      </c>
      <c r="Q2164" s="7">
        <f t="shared" si="534"/>
        <v>60.654891304347835</v>
      </c>
      <c r="R2164" s="2">
        <v>1.2</v>
      </c>
      <c r="S2164" s="2">
        <f t="shared" si="537"/>
        <v>4.45</v>
      </c>
      <c r="T2164" s="2"/>
      <c r="U2164" s="2"/>
      <c r="Y2164" s="8">
        <f t="shared" si="535"/>
        <v>2.1593141304347832</v>
      </c>
    </row>
    <row r="2165" spans="1:25" x14ac:dyDescent="0.25">
      <c r="A2165" s="70">
        <f t="shared" si="541"/>
        <v>2146</v>
      </c>
      <c r="B2165" s="77">
        <f t="shared" si="541"/>
        <v>158</v>
      </c>
      <c r="C2165" s="83" t="s">
        <v>629</v>
      </c>
      <c r="D2165" s="86" t="s">
        <v>630</v>
      </c>
      <c r="E2165" s="51"/>
      <c r="F2165" s="65">
        <v>2.0180460000000001E-2</v>
      </c>
      <c r="G2165" s="65">
        <f t="shared" si="540"/>
        <v>3.9755506200000006E-3</v>
      </c>
      <c r="H2165" s="66">
        <v>1.2512000000000001E-2</v>
      </c>
      <c r="I2165" s="66">
        <f t="shared" si="542"/>
        <v>1.8768000000000001E-3</v>
      </c>
      <c r="J2165" s="32">
        <f t="shared" si="536"/>
        <v>2.7839200000000001E-2</v>
      </c>
      <c r="K2165" s="33">
        <f t="shared" si="531"/>
        <v>4.1758799999999999E-3</v>
      </c>
      <c r="L2165" s="33"/>
      <c r="O2165" s="2">
        <f t="shared" si="532"/>
        <v>5.2133333333333337E-3</v>
      </c>
      <c r="P2165" s="2">
        <f t="shared" si="533"/>
        <v>3.7536000000000005</v>
      </c>
      <c r="Q2165" s="7">
        <f t="shared" si="534"/>
        <v>17.000000000000004</v>
      </c>
      <c r="R2165" s="2">
        <v>1.2</v>
      </c>
      <c r="S2165" s="2">
        <f t="shared" si="537"/>
        <v>4.45</v>
      </c>
      <c r="T2165" s="2"/>
      <c r="U2165" s="2"/>
      <c r="Y2165" s="8">
        <f t="shared" si="535"/>
        <v>0.60520000000000007</v>
      </c>
    </row>
    <row r="2166" spans="1:25" x14ac:dyDescent="0.25">
      <c r="A2166" s="70">
        <f t="shared" si="541"/>
        <v>2147</v>
      </c>
      <c r="B2166" s="77">
        <f t="shared" si="541"/>
        <v>159</v>
      </c>
      <c r="C2166" s="83" t="s">
        <v>629</v>
      </c>
      <c r="D2166" s="86" t="s">
        <v>95</v>
      </c>
      <c r="E2166" s="51"/>
      <c r="F2166" s="65">
        <v>4.3556999999999998E-2</v>
      </c>
      <c r="G2166" s="65">
        <f t="shared" si="540"/>
        <v>8.5807290000000005E-3</v>
      </c>
      <c r="H2166" s="66">
        <v>2.1477E-2</v>
      </c>
      <c r="I2166" s="66">
        <f t="shared" si="542"/>
        <v>3.2215499999999997E-3</v>
      </c>
      <c r="J2166" s="32">
        <f t="shared" si="536"/>
        <v>4.7786324999999998E-2</v>
      </c>
      <c r="K2166" s="33">
        <f t="shared" si="531"/>
        <v>7.1679487499999991E-3</v>
      </c>
      <c r="L2166" s="33"/>
      <c r="O2166" s="2">
        <f t="shared" si="532"/>
        <v>8.9487500000000001E-3</v>
      </c>
      <c r="P2166" s="2">
        <f t="shared" si="533"/>
        <v>6.4431000000000003</v>
      </c>
      <c r="Q2166" s="7">
        <f t="shared" si="534"/>
        <v>29.180706521739133</v>
      </c>
      <c r="R2166" s="2">
        <v>1.2</v>
      </c>
      <c r="S2166" s="2">
        <f t="shared" si="537"/>
        <v>4.45</v>
      </c>
      <c r="T2166" s="2"/>
      <c r="U2166" s="2"/>
      <c r="Y2166" s="8">
        <f t="shared" si="535"/>
        <v>1.0388331521739131</v>
      </c>
    </row>
    <row r="2167" spans="1:25" x14ac:dyDescent="0.25">
      <c r="A2167" s="70">
        <f t="shared" si="541"/>
        <v>2148</v>
      </c>
      <c r="B2167" s="77">
        <f t="shared" si="541"/>
        <v>160</v>
      </c>
      <c r="C2167" s="83" t="s">
        <v>629</v>
      </c>
      <c r="D2167" s="86" t="s">
        <v>67</v>
      </c>
      <c r="E2167" s="51"/>
      <c r="F2167" s="65">
        <v>6.1247999999999997E-2</v>
      </c>
      <c r="G2167" s="65">
        <f t="shared" si="540"/>
        <v>1.2065856E-2</v>
      </c>
      <c r="H2167" s="66">
        <v>2.8969999999999998E-3</v>
      </c>
      <c r="I2167" s="66">
        <f t="shared" si="542"/>
        <v>4.3454999999999996E-4</v>
      </c>
      <c r="J2167" s="32">
        <f t="shared" si="536"/>
        <v>6.4458249999999996E-3</v>
      </c>
      <c r="K2167" s="33">
        <f t="shared" si="531"/>
        <v>9.6687374999999986E-4</v>
      </c>
      <c r="L2167" s="33"/>
      <c r="O2167" s="2">
        <f t="shared" si="532"/>
        <v>1.2070833333333332E-3</v>
      </c>
      <c r="P2167" s="2">
        <f t="shared" si="533"/>
        <v>0.86909999999999987</v>
      </c>
      <c r="Q2167" s="7">
        <f t="shared" si="534"/>
        <v>3.9361413043478257</v>
      </c>
      <c r="R2167" s="2">
        <v>1.2</v>
      </c>
      <c r="S2167" s="2">
        <f t="shared" si="537"/>
        <v>4.45</v>
      </c>
      <c r="T2167" s="2"/>
      <c r="U2167" s="2"/>
      <c r="Y2167" s="8">
        <f t="shared" si="535"/>
        <v>0.1401266304347826</v>
      </c>
    </row>
    <row r="2168" spans="1:25" x14ac:dyDescent="0.25">
      <c r="A2168" s="70">
        <f t="shared" si="541"/>
        <v>2149</v>
      </c>
      <c r="B2168" s="77">
        <f t="shared" si="541"/>
        <v>161</v>
      </c>
      <c r="C2168" s="83" t="s">
        <v>629</v>
      </c>
      <c r="D2168" s="86" t="s">
        <v>69</v>
      </c>
      <c r="E2168" s="51"/>
      <c r="F2168" s="65">
        <v>3.8535E-2</v>
      </c>
      <c r="G2168" s="65">
        <f t="shared" si="540"/>
        <v>7.5913949999999999E-3</v>
      </c>
      <c r="H2168" s="66">
        <v>5.2659999999999998E-3</v>
      </c>
      <c r="I2168" s="66">
        <f t="shared" si="542"/>
        <v>7.8989999999999996E-4</v>
      </c>
      <c r="J2168" s="32">
        <f t="shared" si="536"/>
        <v>1.1716850000000001E-2</v>
      </c>
      <c r="K2168" s="33">
        <f t="shared" si="531"/>
        <v>1.7575275E-3</v>
      </c>
      <c r="L2168" s="33"/>
      <c r="O2168" s="2">
        <f t="shared" si="532"/>
        <v>2.1941666666666667E-3</v>
      </c>
      <c r="P2168" s="2">
        <f t="shared" si="533"/>
        <v>1.5797999999999999</v>
      </c>
      <c r="Q2168" s="7">
        <f t="shared" si="534"/>
        <v>7.1548913043478253</v>
      </c>
      <c r="R2168" s="2">
        <v>1.2</v>
      </c>
      <c r="S2168" s="2">
        <f t="shared" si="537"/>
        <v>4.45</v>
      </c>
      <c r="T2168" s="2"/>
      <c r="U2168" s="2"/>
      <c r="Y2168" s="8">
        <f t="shared" si="535"/>
        <v>0.25471413043478264</v>
      </c>
    </row>
    <row r="2169" spans="1:25" x14ac:dyDescent="0.25">
      <c r="A2169" s="70">
        <f t="shared" si="541"/>
        <v>2150</v>
      </c>
      <c r="B2169" s="77">
        <f t="shared" si="541"/>
        <v>162</v>
      </c>
      <c r="C2169" s="83" t="s">
        <v>629</v>
      </c>
      <c r="D2169" s="86" t="s">
        <v>317</v>
      </c>
      <c r="E2169" s="51"/>
      <c r="F2169" s="65">
        <v>6.705055E-2</v>
      </c>
      <c r="G2169" s="65">
        <f t="shared" si="540"/>
        <v>1.3208958350000001E-2</v>
      </c>
      <c r="H2169" s="66">
        <v>9.2329999999999999E-3</v>
      </c>
      <c r="I2169" s="66">
        <f t="shared" si="542"/>
        <v>1.38495E-3</v>
      </c>
      <c r="J2169" s="32">
        <f t="shared" si="536"/>
        <v>2.0543425000000001E-2</v>
      </c>
      <c r="K2169" s="33">
        <f t="shared" si="531"/>
        <v>3.0815137500000002E-3</v>
      </c>
      <c r="L2169" s="33"/>
      <c r="O2169" s="2">
        <f t="shared" si="532"/>
        <v>3.8470833333333334E-3</v>
      </c>
      <c r="P2169" s="2">
        <f t="shared" si="533"/>
        <v>2.7698999999999998</v>
      </c>
      <c r="Q2169" s="7">
        <f t="shared" si="534"/>
        <v>12.544836956521738</v>
      </c>
      <c r="R2169" s="2">
        <v>1.2</v>
      </c>
      <c r="S2169" s="2">
        <f t="shared" si="537"/>
        <v>4.45</v>
      </c>
      <c r="T2169" s="2"/>
      <c r="U2169" s="2"/>
      <c r="Y2169" s="8">
        <f t="shared" si="535"/>
        <v>0.44659619565217396</v>
      </c>
    </row>
    <row r="2170" spans="1:25" x14ac:dyDescent="0.25">
      <c r="A2170" s="70">
        <f t="shared" ref="A2170:B2185" si="543">A2169+1</f>
        <v>2151</v>
      </c>
      <c r="B2170" s="77">
        <f t="shared" si="543"/>
        <v>163</v>
      </c>
      <c r="C2170" s="83" t="s">
        <v>631</v>
      </c>
      <c r="D2170" s="86" t="s">
        <v>250</v>
      </c>
      <c r="E2170" s="51"/>
      <c r="F2170" s="65">
        <v>0.17041600000000001</v>
      </c>
      <c r="G2170" s="65">
        <f t="shared" si="540"/>
        <v>3.3571952000000002E-2</v>
      </c>
      <c r="H2170" s="66">
        <v>6.0753000000000001E-2</v>
      </c>
      <c r="I2170" s="66">
        <f t="shared" si="542"/>
        <v>9.1129499999999999E-3</v>
      </c>
      <c r="J2170" s="32">
        <f t="shared" si="536"/>
        <v>0.13517542500000002</v>
      </c>
      <c r="K2170" s="33">
        <f t="shared" si="531"/>
        <v>2.027631375E-2</v>
      </c>
      <c r="L2170" s="33"/>
      <c r="O2170" s="2">
        <f t="shared" si="532"/>
        <v>2.5313750000000003E-2</v>
      </c>
      <c r="P2170" s="2">
        <f t="shared" si="533"/>
        <v>18.225900000000003</v>
      </c>
      <c r="Q2170" s="7">
        <f t="shared" si="534"/>
        <v>82.544836956521749</v>
      </c>
      <c r="R2170" s="2">
        <v>1.2</v>
      </c>
      <c r="S2170" s="2">
        <f t="shared" si="537"/>
        <v>4.45</v>
      </c>
      <c r="T2170" s="2"/>
      <c r="U2170" s="2"/>
      <c r="Y2170" s="8">
        <f t="shared" si="535"/>
        <v>2.938596195652174</v>
      </c>
    </row>
    <row r="2171" spans="1:25" x14ac:dyDescent="0.25">
      <c r="A2171" s="70">
        <f t="shared" si="543"/>
        <v>2152</v>
      </c>
      <c r="B2171" s="77">
        <f t="shared" si="543"/>
        <v>164</v>
      </c>
      <c r="C2171" s="83" t="s">
        <v>632</v>
      </c>
      <c r="D2171" s="86" t="s">
        <v>162</v>
      </c>
      <c r="E2171" s="51"/>
      <c r="F2171" s="65">
        <v>0.179343</v>
      </c>
      <c r="G2171" s="65">
        <f t="shared" si="540"/>
        <v>3.5330571000000005E-2</v>
      </c>
      <c r="H2171" s="66">
        <v>6.5379999999999994E-2</v>
      </c>
      <c r="I2171" s="66">
        <f>H2171*0.15</f>
        <v>9.806999999999998E-3</v>
      </c>
      <c r="J2171" s="32">
        <f t="shared" si="536"/>
        <v>0.1454705</v>
      </c>
      <c r="K2171" s="33">
        <f t="shared" si="531"/>
        <v>2.1820574999999998E-2</v>
      </c>
      <c r="L2171" s="33"/>
      <c r="O2171" s="2">
        <f t="shared" si="532"/>
        <v>2.7241666666666664E-2</v>
      </c>
      <c r="P2171" s="2">
        <f t="shared" si="533"/>
        <v>19.613999999999997</v>
      </c>
      <c r="Q2171" s="7">
        <f t="shared" si="534"/>
        <v>88.831521739130423</v>
      </c>
      <c r="R2171" s="2">
        <v>1.2</v>
      </c>
      <c r="S2171" s="2">
        <f t="shared" si="537"/>
        <v>4.45</v>
      </c>
      <c r="T2171" s="2"/>
      <c r="U2171" s="2"/>
      <c r="Y2171" s="8">
        <f t="shared" si="535"/>
        <v>3.1624021739130437</v>
      </c>
    </row>
    <row r="2172" spans="1:25" x14ac:dyDescent="0.25">
      <c r="A2172" s="70">
        <f t="shared" si="543"/>
        <v>2153</v>
      </c>
      <c r="B2172" s="77">
        <f t="shared" si="543"/>
        <v>165</v>
      </c>
      <c r="C2172" s="83" t="s">
        <v>633</v>
      </c>
      <c r="D2172" s="51">
        <v>1</v>
      </c>
      <c r="E2172" s="51"/>
      <c r="F2172" s="65">
        <v>0.25801600000000002</v>
      </c>
      <c r="G2172" s="65">
        <f t="shared" si="540"/>
        <v>5.0829152000000009E-2</v>
      </c>
      <c r="H2172" s="66">
        <v>0.10598399999999999</v>
      </c>
      <c r="I2172" s="66">
        <f t="shared" si="542"/>
        <v>1.5897599999999998E-2</v>
      </c>
      <c r="J2172" s="32">
        <f t="shared" si="536"/>
        <v>0.23581440000000001</v>
      </c>
      <c r="K2172" s="33">
        <f t="shared" si="531"/>
        <v>3.537216E-2</v>
      </c>
      <c r="L2172" s="33"/>
      <c r="O2172" s="2">
        <f t="shared" si="532"/>
        <v>4.4159999999999998E-2</v>
      </c>
      <c r="P2172" s="2">
        <f t="shared" si="533"/>
        <v>31.795199999999998</v>
      </c>
      <c r="Q2172" s="7">
        <f t="shared" si="534"/>
        <v>144</v>
      </c>
      <c r="R2172" s="2">
        <v>1.2</v>
      </c>
      <c r="S2172" s="2">
        <f t="shared" si="537"/>
        <v>4.45</v>
      </c>
      <c r="T2172" s="2"/>
      <c r="U2172" s="2"/>
      <c r="Y2172" s="8">
        <f t="shared" si="535"/>
        <v>5.1264000000000003</v>
      </c>
    </row>
    <row r="2173" spans="1:25" x14ac:dyDescent="0.25">
      <c r="A2173" s="70">
        <f t="shared" si="543"/>
        <v>2154</v>
      </c>
      <c r="B2173" s="77">
        <f t="shared" si="543"/>
        <v>166</v>
      </c>
      <c r="C2173" s="83" t="s">
        <v>633</v>
      </c>
      <c r="D2173" s="86" t="s">
        <v>237</v>
      </c>
      <c r="E2173" s="51">
        <v>1</v>
      </c>
      <c r="F2173" s="87">
        <v>0.205847</v>
      </c>
      <c r="G2173" s="87">
        <v>4.0551999999999998E-2</v>
      </c>
      <c r="H2173" s="87">
        <v>0.134712</v>
      </c>
      <c r="I2173" s="87">
        <f>H2173*0.15</f>
        <v>2.02068E-2</v>
      </c>
      <c r="J2173" s="32">
        <f t="shared" si="536"/>
        <v>0.2492172</v>
      </c>
      <c r="K2173" s="33">
        <f t="shared" si="531"/>
        <v>3.7382579999999999E-2</v>
      </c>
      <c r="L2173" s="33"/>
      <c r="O2173" s="2">
        <f t="shared" si="532"/>
        <v>5.6129999999999999E-2</v>
      </c>
      <c r="P2173" s="2">
        <f t="shared" si="533"/>
        <v>40.413599999999995</v>
      </c>
      <c r="Q2173" s="7">
        <f t="shared" si="534"/>
        <v>183.03260869565216</v>
      </c>
      <c r="R2173" s="2">
        <v>1.2</v>
      </c>
      <c r="S2173" s="2">
        <f t="shared" si="537"/>
        <v>3.7</v>
      </c>
      <c r="T2173" s="2"/>
      <c r="U2173" s="2"/>
      <c r="Y2173" s="8">
        <f t="shared" si="535"/>
        <v>5.4177652173913042</v>
      </c>
    </row>
    <row r="2174" spans="1:25" x14ac:dyDescent="0.25">
      <c r="A2174" s="70">
        <f t="shared" si="543"/>
        <v>2155</v>
      </c>
      <c r="B2174" s="77">
        <f t="shared" si="543"/>
        <v>167</v>
      </c>
      <c r="C2174" s="83" t="s">
        <v>633</v>
      </c>
      <c r="D2174" s="86" t="s">
        <v>237</v>
      </c>
      <c r="E2174" s="51">
        <v>2</v>
      </c>
      <c r="F2174" s="87">
        <v>0.205847</v>
      </c>
      <c r="G2174" s="87">
        <v>4.0551999999999998E-2</v>
      </c>
      <c r="H2174" s="87"/>
      <c r="I2174" s="87"/>
      <c r="J2174" s="32">
        <f t="shared" si="536"/>
        <v>0</v>
      </c>
      <c r="K2174" s="33">
        <f t="shared" si="531"/>
        <v>0</v>
      </c>
      <c r="L2174" s="33"/>
      <c r="O2174" s="2">
        <f t="shared" si="532"/>
        <v>0</v>
      </c>
      <c r="P2174" s="2">
        <f t="shared" si="533"/>
        <v>0</v>
      </c>
      <c r="Q2174" s="7">
        <f t="shared" si="534"/>
        <v>0</v>
      </c>
      <c r="R2174" s="2">
        <v>1.2</v>
      </c>
      <c r="S2174" s="2">
        <f t="shared" si="537"/>
        <v>4.45</v>
      </c>
      <c r="T2174" s="2"/>
      <c r="U2174" s="2"/>
      <c r="Y2174" s="8">
        <f t="shared" si="535"/>
        <v>0</v>
      </c>
    </row>
    <row r="2175" spans="1:25" x14ac:dyDescent="0.25">
      <c r="A2175" s="70">
        <f t="shared" si="543"/>
        <v>2156</v>
      </c>
      <c r="B2175" s="77">
        <f t="shared" si="543"/>
        <v>168</v>
      </c>
      <c r="C2175" s="83" t="s">
        <v>621</v>
      </c>
      <c r="D2175" s="86" t="s">
        <v>634</v>
      </c>
      <c r="E2175" s="51"/>
      <c r="F2175" s="87">
        <v>0.10870100000000001</v>
      </c>
      <c r="G2175" s="87">
        <f>F2175*0.197</f>
        <v>2.1414097000000003E-2</v>
      </c>
      <c r="H2175" s="66">
        <v>5.2993999999999999E-2</v>
      </c>
      <c r="I2175" s="66">
        <f>H2175*0.15</f>
        <v>7.9490999999999989E-3</v>
      </c>
      <c r="J2175" s="32">
        <f t="shared" si="536"/>
        <v>0.11791165000000001</v>
      </c>
      <c r="K2175" s="33">
        <f t="shared" si="531"/>
        <v>1.7686747499999999E-2</v>
      </c>
      <c r="L2175" s="33"/>
      <c r="O2175" s="2">
        <f t="shared" si="532"/>
        <v>2.2080833333333334E-2</v>
      </c>
      <c r="P2175" s="2">
        <f t="shared" si="533"/>
        <v>15.898200000000003</v>
      </c>
      <c r="Q2175" s="7">
        <f t="shared" si="534"/>
        <v>72.002717391304358</v>
      </c>
      <c r="R2175" s="2">
        <v>1.2</v>
      </c>
      <c r="S2175" s="2">
        <f t="shared" si="537"/>
        <v>4.45</v>
      </c>
      <c r="T2175" s="2"/>
      <c r="U2175" s="2"/>
      <c r="Y2175" s="8">
        <f t="shared" si="535"/>
        <v>2.5632967391304349</v>
      </c>
    </row>
    <row r="2176" spans="1:25" x14ac:dyDescent="0.25">
      <c r="A2176" s="70">
        <f t="shared" si="543"/>
        <v>2157</v>
      </c>
      <c r="B2176" s="77">
        <f t="shared" si="543"/>
        <v>169</v>
      </c>
      <c r="C2176" s="83" t="s">
        <v>635</v>
      </c>
      <c r="D2176" s="86" t="s">
        <v>636</v>
      </c>
      <c r="E2176" s="51"/>
      <c r="F2176" s="87">
        <v>0.171405</v>
      </c>
      <c r="G2176" s="87">
        <f t="shared" ref="G2176:G2229" si="544">F2176*0.197</f>
        <v>3.3766785000000001E-2</v>
      </c>
      <c r="H2176" s="66">
        <v>9.4206999999999999E-2</v>
      </c>
      <c r="I2176" s="66">
        <f t="shared" ref="I2176:I2228" si="545">H2176*0.15</f>
        <v>1.4131049999999999E-2</v>
      </c>
      <c r="J2176" s="32">
        <f t="shared" si="536"/>
        <v>0.20961057499999999</v>
      </c>
      <c r="K2176" s="33">
        <f t="shared" si="531"/>
        <v>3.144158625E-2</v>
      </c>
      <c r="L2176" s="33"/>
      <c r="O2176" s="2">
        <f t="shared" si="532"/>
        <v>3.9252916666666665E-2</v>
      </c>
      <c r="P2176" s="2">
        <f t="shared" si="533"/>
        <v>28.2621</v>
      </c>
      <c r="Q2176" s="7">
        <f t="shared" si="534"/>
        <v>127.99864130434783</v>
      </c>
      <c r="R2176" s="2">
        <v>1.2</v>
      </c>
      <c r="S2176" s="2">
        <f t="shared" si="537"/>
        <v>4.45</v>
      </c>
      <c r="T2176" s="2"/>
      <c r="U2176" s="2"/>
      <c r="Y2176" s="8">
        <f t="shared" si="535"/>
        <v>4.5567516304347828</v>
      </c>
    </row>
    <row r="2177" spans="1:25" x14ac:dyDescent="0.25">
      <c r="A2177" s="70">
        <f t="shared" si="543"/>
        <v>2158</v>
      </c>
      <c r="B2177" s="77">
        <f t="shared" si="543"/>
        <v>170</v>
      </c>
      <c r="C2177" s="83" t="s">
        <v>637</v>
      </c>
      <c r="D2177" s="86" t="s">
        <v>50</v>
      </c>
      <c r="E2177" s="51"/>
      <c r="F2177" s="87">
        <v>0.14699200000000001</v>
      </c>
      <c r="G2177" s="87">
        <f t="shared" si="544"/>
        <v>2.8957424000000002E-2</v>
      </c>
      <c r="H2177" s="66">
        <v>6.8446000000000007E-2</v>
      </c>
      <c r="I2177" s="66">
        <f t="shared" si="545"/>
        <v>1.0266900000000001E-2</v>
      </c>
      <c r="J2177" s="32">
        <f t="shared" si="536"/>
        <v>0.15229235000000002</v>
      </c>
      <c r="K2177" s="33">
        <f t="shared" si="531"/>
        <v>2.2843852500000001E-2</v>
      </c>
      <c r="L2177" s="33"/>
      <c r="O2177" s="2">
        <f t="shared" si="532"/>
        <v>2.8519166666666672E-2</v>
      </c>
      <c r="P2177" s="2">
        <f t="shared" si="533"/>
        <v>20.533800000000003</v>
      </c>
      <c r="Q2177" s="7">
        <f t="shared" si="534"/>
        <v>92.99728260869567</v>
      </c>
      <c r="R2177" s="2">
        <v>1.2</v>
      </c>
      <c r="S2177" s="2">
        <f t="shared" si="537"/>
        <v>4.45</v>
      </c>
      <c r="T2177" s="2"/>
      <c r="U2177" s="2"/>
      <c r="Y2177" s="8">
        <f t="shared" si="535"/>
        <v>3.3107032608695657</v>
      </c>
    </row>
    <row r="2178" spans="1:25" x14ac:dyDescent="0.25">
      <c r="A2178" s="70">
        <f t="shared" si="543"/>
        <v>2159</v>
      </c>
      <c r="B2178" s="77">
        <f t="shared" si="543"/>
        <v>171</v>
      </c>
      <c r="C2178" s="83" t="s">
        <v>638</v>
      </c>
      <c r="D2178" s="86" t="s">
        <v>388</v>
      </c>
      <c r="E2178" s="51"/>
      <c r="F2178" s="87">
        <v>0.15196799999999999</v>
      </c>
      <c r="G2178" s="87">
        <f t="shared" si="544"/>
        <v>2.9937696E-2</v>
      </c>
      <c r="H2178" s="66">
        <v>7.8336000000000003E-2</v>
      </c>
      <c r="I2178" s="66">
        <f t="shared" si="545"/>
        <v>1.1750399999999999E-2</v>
      </c>
      <c r="J2178" s="32">
        <f t="shared" si="536"/>
        <v>0.17429760000000002</v>
      </c>
      <c r="K2178" s="33">
        <f t="shared" si="531"/>
        <v>2.6144640000000004E-2</v>
      </c>
      <c r="L2178" s="33"/>
      <c r="O2178" s="2">
        <f t="shared" si="532"/>
        <v>3.2640000000000002E-2</v>
      </c>
      <c r="P2178" s="2">
        <f t="shared" si="533"/>
        <v>23.500800000000002</v>
      </c>
      <c r="Q2178" s="7">
        <f t="shared" si="534"/>
        <v>106.43478260869566</v>
      </c>
      <c r="R2178" s="2">
        <v>1.2</v>
      </c>
      <c r="S2178" s="2">
        <f t="shared" si="537"/>
        <v>4.45</v>
      </c>
      <c r="T2178" s="2"/>
      <c r="U2178" s="2"/>
      <c r="Y2178" s="8">
        <f t="shared" si="535"/>
        <v>3.7890782608695659</v>
      </c>
    </row>
    <row r="2179" spans="1:25" x14ac:dyDescent="0.25">
      <c r="A2179" s="70">
        <f t="shared" si="543"/>
        <v>2160</v>
      </c>
      <c r="B2179" s="77">
        <f t="shared" si="543"/>
        <v>172</v>
      </c>
      <c r="C2179" s="83" t="s">
        <v>638</v>
      </c>
      <c r="D2179" s="86" t="s">
        <v>417</v>
      </c>
      <c r="E2179" s="51"/>
      <c r="F2179" s="87">
        <v>0.16525899999999999</v>
      </c>
      <c r="G2179" s="87">
        <f t="shared" si="544"/>
        <v>3.2556022999999996E-2</v>
      </c>
      <c r="H2179" s="66">
        <v>7.0544999999999997E-2</v>
      </c>
      <c r="I2179" s="66">
        <f t="shared" si="545"/>
        <v>1.0581749999999999E-2</v>
      </c>
      <c r="J2179" s="32">
        <f t="shared" si="536"/>
        <v>0.15696262499999999</v>
      </c>
      <c r="K2179" s="33">
        <f t="shared" si="531"/>
        <v>2.354439375E-2</v>
      </c>
      <c r="L2179" s="33"/>
      <c r="O2179" s="2">
        <f t="shared" si="532"/>
        <v>2.939375E-2</v>
      </c>
      <c r="P2179" s="2">
        <f t="shared" si="533"/>
        <v>21.163499999999999</v>
      </c>
      <c r="Q2179" s="7">
        <f t="shared" si="534"/>
        <v>95.849184782608688</v>
      </c>
      <c r="R2179" s="2">
        <v>1.2</v>
      </c>
      <c r="S2179" s="2">
        <f t="shared" si="537"/>
        <v>4.45</v>
      </c>
      <c r="T2179" s="2"/>
      <c r="U2179" s="2"/>
      <c r="Y2179" s="8">
        <f t="shared" si="535"/>
        <v>3.4122309782608693</v>
      </c>
    </row>
    <row r="2180" spans="1:25" x14ac:dyDescent="0.25">
      <c r="A2180" s="70">
        <f t="shared" si="543"/>
        <v>2161</v>
      </c>
      <c r="B2180" s="77">
        <f>B2179+1</f>
        <v>173</v>
      </c>
      <c r="C2180" s="83" t="s">
        <v>639</v>
      </c>
      <c r="D2180" s="86" t="s">
        <v>33</v>
      </c>
      <c r="E2180" s="51">
        <v>2</v>
      </c>
      <c r="F2180" s="87">
        <v>0.170706</v>
      </c>
      <c r="G2180" s="87">
        <f t="shared" si="544"/>
        <v>3.3629081999999998E-2</v>
      </c>
      <c r="H2180" s="66">
        <v>0.113831</v>
      </c>
      <c r="I2180" s="66">
        <f t="shared" si="545"/>
        <v>1.707465E-2</v>
      </c>
      <c r="J2180" s="32">
        <f t="shared" si="536"/>
        <v>0.21058735000000001</v>
      </c>
      <c r="K2180" s="33">
        <f t="shared" si="531"/>
        <v>3.15881025E-2</v>
      </c>
      <c r="L2180" s="33"/>
      <c r="O2180" s="2">
        <f t="shared" si="532"/>
        <v>4.7429583333333337E-2</v>
      </c>
      <c r="P2180" s="2">
        <f t="shared" si="533"/>
        <v>34.149300000000004</v>
      </c>
      <c r="Q2180" s="7">
        <f t="shared" si="534"/>
        <v>154.66168478260872</v>
      </c>
      <c r="R2180" s="2">
        <v>1.2</v>
      </c>
      <c r="S2180" s="2">
        <f t="shared" si="537"/>
        <v>3.7</v>
      </c>
      <c r="T2180" s="2"/>
      <c r="U2180" s="2"/>
      <c r="Y2180" s="8">
        <f t="shared" si="535"/>
        <v>4.5779858695652171</v>
      </c>
    </row>
    <row r="2181" spans="1:25" x14ac:dyDescent="0.25">
      <c r="A2181" s="70">
        <f t="shared" si="543"/>
        <v>2162</v>
      </c>
      <c r="B2181" s="77">
        <f t="shared" si="543"/>
        <v>174</v>
      </c>
      <c r="C2181" s="83" t="s">
        <v>640</v>
      </c>
      <c r="D2181" s="86" t="s">
        <v>96</v>
      </c>
      <c r="E2181" s="51"/>
      <c r="F2181" s="87">
        <v>0.11271200000000001</v>
      </c>
      <c r="G2181" s="87">
        <f t="shared" si="544"/>
        <v>2.2204264000000001E-2</v>
      </c>
      <c r="H2181" s="66">
        <v>6.6239999999999993E-2</v>
      </c>
      <c r="I2181" s="66">
        <f t="shared" si="545"/>
        <v>9.9359999999999987E-3</v>
      </c>
      <c r="J2181" s="32">
        <f t="shared" si="536"/>
        <v>0.14738399999999999</v>
      </c>
      <c r="K2181" s="33">
        <f t="shared" si="531"/>
        <v>2.2107599999999998E-2</v>
      </c>
      <c r="L2181" s="33"/>
      <c r="O2181" s="2">
        <f t="shared" si="532"/>
        <v>2.76E-2</v>
      </c>
      <c r="P2181" s="2">
        <f t="shared" si="533"/>
        <v>19.872</v>
      </c>
      <c r="Q2181" s="7">
        <f t="shared" si="534"/>
        <v>90</v>
      </c>
      <c r="R2181" s="2">
        <v>1.2</v>
      </c>
      <c r="S2181" s="2">
        <f t="shared" si="537"/>
        <v>4.45</v>
      </c>
      <c r="T2181" s="2"/>
      <c r="U2181" s="2"/>
      <c r="Y2181" s="8">
        <f t="shared" si="535"/>
        <v>3.2039999999999997</v>
      </c>
    </row>
    <row r="2182" spans="1:25" x14ac:dyDescent="0.25">
      <c r="A2182" s="70">
        <f t="shared" si="543"/>
        <v>2163</v>
      </c>
      <c r="B2182" s="77">
        <f t="shared" si="543"/>
        <v>175</v>
      </c>
      <c r="C2182" s="83" t="s">
        <v>641</v>
      </c>
      <c r="D2182" s="86" t="s">
        <v>642</v>
      </c>
      <c r="E2182" s="51"/>
      <c r="F2182" s="87">
        <v>0.10523200000000001</v>
      </c>
      <c r="G2182" s="87">
        <f t="shared" si="544"/>
        <v>2.0730704000000003E-2</v>
      </c>
      <c r="H2182" s="66">
        <v>1.9869999999999999E-2</v>
      </c>
      <c r="I2182" s="66">
        <f t="shared" si="545"/>
        <v>2.9804999999999996E-3</v>
      </c>
      <c r="J2182" s="32">
        <f t="shared" si="536"/>
        <v>4.4210750000000007E-2</v>
      </c>
      <c r="K2182" s="33">
        <f t="shared" si="531"/>
        <v>6.6316125000000009E-3</v>
      </c>
      <c r="L2182" s="33"/>
      <c r="O2182" s="2">
        <f t="shared" si="532"/>
        <v>8.2791666666666673E-3</v>
      </c>
      <c r="P2182" s="2">
        <f t="shared" si="533"/>
        <v>5.9610000000000003</v>
      </c>
      <c r="Q2182" s="7">
        <f t="shared" si="534"/>
        <v>26.997282608695652</v>
      </c>
      <c r="R2182" s="2">
        <v>1.2</v>
      </c>
      <c r="S2182" s="2">
        <f t="shared" si="537"/>
        <v>4.45</v>
      </c>
      <c r="T2182" s="2"/>
      <c r="U2182" s="2"/>
      <c r="Y2182" s="8">
        <f t="shared" si="535"/>
        <v>0.96110326086956532</v>
      </c>
    </row>
    <row r="2183" spans="1:25" x14ac:dyDescent="0.25">
      <c r="A2183" s="70">
        <f t="shared" si="543"/>
        <v>2164</v>
      </c>
      <c r="B2183" s="77">
        <f t="shared" si="543"/>
        <v>176</v>
      </c>
      <c r="C2183" s="83" t="s">
        <v>641</v>
      </c>
      <c r="D2183" s="51" t="s">
        <v>643</v>
      </c>
      <c r="E2183" s="51"/>
      <c r="F2183" s="87">
        <v>0.140018</v>
      </c>
      <c r="G2183" s="87">
        <f t="shared" si="544"/>
        <v>2.7583546E-2</v>
      </c>
      <c r="H2183" s="66">
        <v>4.4900000000000002E-2</v>
      </c>
      <c r="I2183" s="66">
        <f t="shared" si="545"/>
        <v>6.7350000000000005E-3</v>
      </c>
      <c r="J2183" s="32">
        <f t="shared" si="536"/>
        <v>9.9902500000000005E-2</v>
      </c>
      <c r="K2183" s="33">
        <f t="shared" si="531"/>
        <v>1.4985375E-2</v>
      </c>
      <c r="L2183" s="33"/>
      <c r="O2183" s="2">
        <f t="shared" si="532"/>
        <v>1.8708333333333334E-2</v>
      </c>
      <c r="P2183" s="2">
        <f t="shared" si="533"/>
        <v>13.47</v>
      </c>
      <c r="Q2183" s="7">
        <f t="shared" si="534"/>
        <v>61.005434782608702</v>
      </c>
      <c r="R2183" s="2">
        <v>1.2</v>
      </c>
      <c r="S2183" s="2">
        <f t="shared" si="537"/>
        <v>4.45</v>
      </c>
      <c r="T2183" s="2"/>
      <c r="U2183" s="2"/>
      <c r="Y2183" s="8">
        <f t="shared" si="535"/>
        <v>2.1717934782608697</v>
      </c>
    </row>
    <row r="2184" spans="1:25" x14ac:dyDescent="0.25">
      <c r="A2184" s="70">
        <f t="shared" si="543"/>
        <v>2165</v>
      </c>
      <c r="B2184" s="77">
        <f t="shared" si="543"/>
        <v>177</v>
      </c>
      <c r="C2184" s="83" t="s">
        <v>644</v>
      </c>
      <c r="D2184" s="51">
        <v>1</v>
      </c>
      <c r="E2184" s="51"/>
      <c r="F2184" s="87">
        <v>0.14813299999999999</v>
      </c>
      <c r="G2184" s="87">
        <f t="shared" si="544"/>
        <v>2.9182200999999998E-2</v>
      </c>
      <c r="H2184" s="66">
        <v>6.4984E-2</v>
      </c>
      <c r="I2184" s="66">
        <f t="shared" si="545"/>
        <v>9.7476000000000004E-3</v>
      </c>
      <c r="J2184" s="32">
        <f t="shared" si="536"/>
        <v>0.14458940000000001</v>
      </c>
      <c r="K2184" s="33">
        <f t="shared" si="531"/>
        <v>2.1688410000000002E-2</v>
      </c>
      <c r="L2184" s="33"/>
      <c r="O2184" s="2">
        <f t="shared" si="532"/>
        <v>2.7076666666666669E-2</v>
      </c>
      <c r="P2184" s="2">
        <f t="shared" si="533"/>
        <v>19.495200000000004</v>
      </c>
      <c r="Q2184" s="7">
        <f t="shared" si="534"/>
        <v>88.293478260869591</v>
      </c>
      <c r="R2184" s="2">
        <v>1.2</v>
      </c>
      <c r="S2184" s="2">
        <f t="shared" si="537"/>
        <v>4.45</v>
      </c>
      <c r="T2184" s="2"/>
      <c r="U2184" s="2"/>
      <c r="Y2184" s="8">
        <f t="shared" si="535"/>
        <v>3.1432478260869567</v>
      </c>
    </row>
    <row r="2185" spans="1:25" x14ac:dyDescent="0.25">
      <c r="A2185" s="70">
        <f t="shared" si="543"/>
        <v>2166</v>
      </c>
      <c r="B2185" s="77">
        <f t="shared" si="543"/>
        <v>178</v>
      </c>
      <c r="C2185" s="83" t="s">
        <v>644</v>
      </c>
      <c r="D2185" s="51" t="s">
        <v>190</v>
      </c>
      <c r="E2185" s="51"/>
      <c r="F2185" s="87">
        <v>0.14956900000000001</v>
      </c>
      <c r="G2185" s="87">
        <f t="shared" si="544"/>
        <v>2.9465093000000001E-2</v>
      </c>
      <c r="H2185" s="66">
        <v>7.7299999999999994E-2</v>
      </c>
      <c r="I2185" s="66">
        <f t="shared" si="545"/>
        <v>1.1594999999999999E-2</v>
      </c>
      <c r="J2185" s="32">
        <f t="shared" si="536"/>
        <v>0.17199249999999999</v>
      </c>
      <c r="K2185" s="33">
        <f t="shared" si="531"/>
        <v>2.5798874999999999E-2</v>
      </c>
      <c r="L2185" s="33"/>
      <c r="O2185" s="2">
        <f t="shared" si="532"/>
        <v>3.2208333333333332E-2</v>
      </c>
      <c r="P2185" s="2">
        <f t="shared" si="533"/>
        <v>23.189999999999998</v>
      </c>
      <c r="Q2185" s="7">
        <f t="shared" si="534"/>
        <v>105.02717391304347</v>
      </c>
      <c r="R2185" s="2">
        <v>1.2</v>
      </c>
      <c r="S2185" s="2">
        <f t="shared" si="537"/>
        <v>4.45</v>
      </c>
      <c r="T2185" s="2"/>
      <c r="U2185" s="2"/>
      <c r="Y2185" s="8">
        <f t="shared" si="535"/>
        <v>3.7389673913043477</v>
      </c>
    </row>
    <row r="2186" spans="1:25" x14ac:dyDescent="0.25">
      <c r="A2186" s="70">
        <f t="shared" ref="A2186:B2201" si="546">A2185+1</f>
        <v>2167</v>
      </c>
      <c r="B2186" s="77">
        <f t="shared" si="546"/>
        <v>179</v>
      </c>
      <c r="C2186" s="83" t="s">
        <v>644</v>
      </c>
      <c r="D2186" s="51" t="s">
        <v>191</v>
      </c>
      <c r="E2186" s="51"/>
      <c r="F2186" s="87">
        <v>0.14935000000000001</v>
      </c>
      <c r="G2186" s="87">
        <f t="shared" si="544"/>
        <v>2.9421950000000002E-2</v>
      </c>
      <c r="H2186" s="66">
        <v>7.2120000000000004E-2</v>
      </c>
      <c r="I2186" s="66">
        <f t="shared" si="545"/>
        <v>1.0817999999999999E-2</v>
      </c>
      <c r="J2186" s="32">
        <f t="shared" si="536"/>
        <v>0.16046700000000003</v>
      </c>
      <c r="K2186" s="33">
        <f t="shared" si="531"/>
        <v>2.4070050000000003E-2</v>
      </c>
      <c r="L2186" s="33"/>
      <c r="O2186" s="2">
        <f t="shared" si="532"/>
        <v>3.0050000000000004E-2</v>
      </c>
      <c r="P2186" s="2">
        <f t="shared" si="533"/>
        <v>21.636000000000003</v>
      </c>
      <c r="Q2186" s="7">
        <f t="shared" si="534"/>
        <v>97.989130434782624</v>
      </c>
      <c r="R2186" s="2">
        <v>1.2</v>
      </c>
      <c r="S2186" s="2">
        <f t="shared" si="537"/>
        <v>4.45</v>
      </c>
      <c r="T2186" s="2"/>
      <c r="U2186" s="2"/>
      <c r="Y2186" s="8">
        <f t="shared" si="535"/>
        <v>3.4884130434782614</v>
      </c>
    </row>
    <row r="2187" spans="1:25" x14ac:dyDescent="0.25">
      <c r="A2187" s="70">
        <f t="shared" si="546"/>
        <v>2168</v>
      </c>
      <c r="B2187" s="77">
        <f t="shared" si="546"/>
        <v>180</v>
      </c>
      <c r="C2187" s="83" t="s">
        <v>644</v>
      </c>
      <c r="D2187" s="51" t="s">
        <v>645</v>
      </c>
      <c r="E2187" s="51"/>
      <c r="F2187" s="87">
        <v>0.152701</v>
      </c>
      <c r="G2187" s="87">
        <f t="shared" si="544"/>
        <v>3.0082097000000002E-2</v>
      </c>
      <c r="H2187" s="66">
        <v>9.8222000000000014E-3</v>
      </c>
      <c r="I2187" s="66">
        <f t="shared" si="545"/>
        <v>1.4733300000000001E-3</v>
      </c>
      <c r="J2187" s="32">
        <f t="shared" si="536"/>
        <v>2.1854395000000006E-2</v>
      </c>
      <c r="K2187" s="33">
        <f t="shared" si="531"/>
        <v>3.2781592500000008E-3</v>
      </c>
      <c r="L2187" s="33"/>
      <c r="O2187" s="2">
        <f t="shared" si="532"/>
        <v>4.0925833333333344E-3</v>
      </c>
      <c r="P2187" s="2">
        <f t="shared" si="533"/>
        <v>2.9466600000000009</v>
      </c>
      <c r="Q2187" s="7">
        <f t="shared" si="534"/>
        <v>13.345380434782614</v>
      </c>
      <c r="R2187" s="2">
        <v>1.2</v>
      </c>
      <c r="S2187" s="2">
        <f t="shared" si="537"/>
        <v>4.45</v>
      </c>
      <c r="T2187" s="2"/>
      <c r="U2187" s="2"/>
      <c r="Y2187" s="8">
        <f t="shared" si="535"/>
        <v>0.475095543478261</v>
      </c>
    </row>
    <row r="2188" spans="1:25" x14ac:dyDescent="0.25">
      <c r="A2188" s="70">
        <f t="shared" si="546"/>
        <v>2169</v>
      </c>
      <c r="B2188" s="77">
        <f t="shared" si="546"/>
        <v>181</v>
      </c>
      <c r="C2188" s="83" t="s">
        <v>644</v>
      </c>
      <c r="D2188" s="51" t="s">
        <v>646</v>
      </c>
      <c r="E2188" s="51"/>
      <c r="F2188" s="87">
        <v>8.7015999999999996E-2</v>
      </c>
      <c r="G2188" s="87">
        <f t="shared" si="544"/>
        <v>1.7142152000000001E-2</v>
      </c>
      <c r="H2188" s="66">
        <v>2.7625000000000002E-3</v>
      </c>
      <c r="I2188" s="66">
        <f t="shared" si="545"/>
        <v>4.1437500000000003E-4</v>
      </c>
      <c r="J2188" s="32">
        <f t="shared" si="536"/>
        <v>6.146562500000001E-3</v>
      </c>
      <c r="K2188" s="33">
        <f t="shared" ref="K2188:K2229" si="547">J2188*0.15</f>
        <v>9.2198437500000006E-4</v>
      </c>
      <c r="L2188" s="33"/>
      <c r="O2188" s="2">
        <f t="shared" si="532"/>
        <v>1.1510416666666667E-3</v>
      </c>
      <c r="P2188" s="2">
        <f t="shared" si="533"/>
        <v>0.8287500000000001</v>
      </c>
      <c r="Q2188" s="7">
        <f t="shared" si="534"/>
        <v>3.7533967391304355</v>
      </c>
      <c r="R2188" s="2">
        <v>1.2</v>
      </c>
      <c r="S2188" s="2">
        <f t="shared" si="537"/>
        <v>4.45</v>
      </c>
      <c r="T2188" s="2"/>
      <c r="U2188" s="2"/>
      <c r="Y2188" s="8">
        <f t="shared" si="535"/>
        <v>0.1336209239130435</v>
      </c>
    </row>
    <row r="2189" spans="1:25" x14ac:dyDescent="0.25">
      <c r="A2189" s="70">
        <f t="shared" si="546"/>
        <v>2170</v>
      </c>
      <c r="B2189" s="77">
        <f t="shared" si="546"/>
        <v>182</v>
      </c>
      <c r="C2189" s="88" t="s">
        <v>647</v>
      </c>
      <c r="D2189" s="77">
        <v>4</v>
      </c>
      <c r="E2189" s="77"/>
      <c r="F2189" s="87">
        <v>0.113758</v>
      </c>
      <c r="G2189" s="87">
        <f t="shared" si="544"/>
        <v>2.2410326000000001E-2</v>
      </c>
      <c r="H2189" s="66">
        <v>5.8141999999999999E-2</v>
      </c>
      <c r="I2189" s="66">
        <f t="shared" si="545"/>
        <v>8.7212999999999995E-3</v>
      </c>
      <c r="J2189" s="32">
        <f t="shared" si="536"/>
        <v>0.12936595000000001</v>
      </c>
      <c r="K2189" s="33">
        <f t="shared" si="547"/>
        <v>1.94048925E-2</v>
      </c>
      <c r="L2189" s="24" t="s">
        <v>16</v>
      </c>
      <c r="O2189" s="2">
        <f t="shared" ref="O2189:O2229" si="548">H2189/2.4</f>
        <v>2.4225833333333335E-2</v>
      </c>
      <c r="P2189" s="2">
        <f t="shared" ref="P2189:P2229" si="549">O2189*24*30</f>
        <v>17.442600000000002</v>
      </c>
      <c r="Q2189" s="7">
        <f t="shared" ref="Q2189:Q2229" si="550">P2189/0.2208</f>
        <v>78.99728260869567</v>
      </c>
      <c r="R2189" s="2">
        <v>1.2</v>
      </c>
      <c r="S2189" s="2">
        <f t="shared" si="537"/>
        <v>4.45</v>
      </c>
      <c r="T2189" s="2"/>
      <c r="U2189" s="2"/>
      <c r="Y2189" s="8">
        <f t="shared" si="535"/>
        <v>2.8123032608695655</v>
      </c>
    </row>
    <row r="2190" spans="1:25" x14ac:dyDescent="0.25">
      <c r="A2190" s="70">
        <f t="shared" si="546"/>
        <v>2171</v>
      </c>
      <c r="B2190" s="77">
        <f t="shared" si="546"/>
        <v>183</v>
      </c>
      <c r="C2190" s="88" t="s">
        <v>647</v>
      </c>
      <c r="D2190" s="77">
        <v>8</v>
      </c>
      <c r="E2190" s="77"/>
      <c r="F2190" s="87">
        <v>0.14793000000000001</v>
      </c>
      <c r="G2190" s="87">
        <f t="shared" si="544"/>
        <v>2.9142210000000002E-2</v>
      </c>
      <c r="H2190" s="66">
        <v>8.3904000000000006E-2</v>
      </c>
      <c r="I2190" s="66">
        <f t="shared" si="545"/>
        <v>1.2585600000000001E-2</v>
      </c>
      <c r="J2190" s="32">
        <f t="shared" si="536"/>
        <v>0.18668640000000003</v>
      </c>
      <c r="K2190" s="33">
        <f t="shared" si="547"/>
        <v>2.8002960000000004E-2</v>
      </c>
      <c r="L2190" s="33"/>
      <c r="O2190" s="2">
        <f t="shared" si="548"/>
        <v>3.4960000000000005E-2</v>
      </c>
      <c r="P2190" s="2">
        <f t="shared" si="549"/>
        <v>25.171200000000002</v>
      </c>
      <c r="Q2190" s="7">
        <f t="shared" si="550"/>
        <v>114.00000000000001</v>
      </c>
      <c r="R2190" s="2">
        <v>1.2</v>
      </c>
      <c r="S2190" s="2">
        <f t="shared" si="537"/>
        <v>4.45</v>
      </c>
      <c r="T2190" s="2"/>
      <c r="U2190" s="2"/>
      <c r="Y2190" s="8">
        <f t="shared" si="535"/>
        <v>4.0584000000000007</v>
      </c>
    </row>
    <row r="2191" spans="1:25" x14ac:dyDescent="0.25">
      <c r="A2191" s="70">
        <f t="shared" si="546"/>
        <v>2172</v>
      </c>
      <c r="B2191" s="77">
        <f t="shared" si="546"/>
        <v>184</v>
      </c>
      <c r="C2191" s="88" t="s">
        <v>647</v>
      </c>
      <c r="D2191" s="77">
        <v>10</v>
      </c>
      <c r="E2191" s="77"/>
      <c r="F2191" s="87">
        <v>0.11945799999999999</v>
      </c>
      <c r="G2191" s="87">
        <f t="shared" si="544"/>
        <v>2.3533226000000001E-2</v>
      </c>
      <c r="H2191" s="66">
        <v>4.8280000000000003E-2</v>
      </c>
      <c r="I2191" s="66">
        <f t="shared" si="545"/>
        <v>7.2420000000000002E-3</v>
      </c>
      <c r="J2191" s="32">
        <f t="shared" si="536"/>
        <v>0.10742300000000002</v>
      </c>
      <c r="K2191" s="33">
        <f t="shared" si="547"/>
        <v>1.6113450000000001E-2</v>
      </c>
      <c r="L2191" s="24" t="s">
        <v>16</v>
      </c>
      <c r="O2191" s="2">
        <f t="shared" si="548"/>
        <v>2.0116666666666668E-2</v>
      </c>
      <c r="P2191" s="2">
        <f t="shared" si="549"/>
        <v>14.484</v>
      </c>
      <c r="Q2191" s="7">
        <f t="shared" si="550"/>
        <v>65.597826086956516</v>
      </c>
      <c r="R2191" s="2">
        <v>1.2</v>
      </c>
      <c r="S2191" s="2">
        <f t="shared" si="537"/>
        <v>4.45</v>
      </c>
      <c r="T2191" s="2"/>
      <c r="U2191" s="2"/>
      <c r="Y2191" s="8">
        <f t="shared" si="535"/>
        <v>2.3352826086956529</v>
      </c>
    </row>
    <row r="2192" spans="1:25" x14ac:dyDescent="0.25">
      <c r="A2192" s="70">
        <f t="shared" si="546"/>
        <v>2173</v>
      </c>
      <c r="B2192" s="77">
        <f t="shared" si="546"/>
        <v>185</v>
      </c>
      <c r="C2192" s="88" t="s">
        <v>648</v>
      </c>
      <c r="D2192" s="77">
        <v>26</v>
      </c>
      <c r="E2192" s="77"/>
      <c r="F2192" s="87">
        <v>0.11758200000000001</v>
      </c>
      <c r="G2192" s="87">
        <f t="shared" si="544"/>
        <v>2.3163654000000002E-2</v>
      </c>
      <c r="H2192" s="66">
        <v>4.7432000000000002E-2</v>
      </c>
      <c r="I2192" s="66">
        <f t="shared" si="545"/>
        <v>7.1148000000000001E-3</v>
      </c>
      <c r="J2192" s="32">
        <f t="shared" si="536"/>
        <v>0.10553620000000001</v>
      </c>
      <c r="K2192" s="33">
        <f t="shared" si="547"/>
        <v>1.583043E-2</v>
      </c>
      <c r="L2192" s="24" t="s">
        <v>16</v>
      </c>
      <c r="O2192" s="2">
        <f t="shared" si="548"/>
        <v>1.9763333333333334E-2</v>
      </c>
      <c r="P2192" s="2">
        <f t="shared" si="549"/>
        <v>14.229600000000001</v>
      </c>
      <c r="Q2192" s="7">
        <f t="shared" si="550"/>
        <v>64.445652173913047</v>
      </c>
      <c r="R2192" s="2">
        <v>1.2</v>
      </c>
      <c r="S2192" s="2">
        <f t="shared" si="537"/>
        <v>4.45</v>
      </c>
      <c r="T2192" s="2"/>
      <c r="U2192" s="2"/>
      <c r="Y2192" s="8">
        <f t="shared" si="535"/>
        <v>2.2942652173913043</v>
      </c>
    </row>
    <row r="2193" spans="1:25" x14ac:dyDescent="0.25">
      <c r="A2193" s="70">
        <f t="shared" si="546"/>
        <v>2174</v>
      </c>
      <c r="B2193" s="77">
        <f t="shared" si="546"/>
        <v>186</v>
      </c>
      <c r="C2193" s="88" t="s">
        <v>648</v>
      </c>
      <c r="D2193" s="77" t="s">
        <v>38</v>
      </c>
      <c r="E2193" s="77"/>
      <c r="F2193" s="87">
        <v>0.117497</v>
      </c>
      <c r="G2193" s="87">
        <f t="shared" si="544"/>
        <v>2.3146909E-2</v>
      </c>
      <c r="H2193" s="66">
        <v>4.6300000000000001E-2</v>
      </c>
      <c r="I2193" s="66">
        <f t="shared" si="545"/>
        <v>6.9449999999999998E-3</v>
      </c>
      <c r="J2193" s="32">
        <f t="shared" si="536"/>
        <v>0.10301750000000001</v>
      </c>
      <c r="K2193" s="33">
        <f t="shared" si="547"/>
        <v>1.5452625000000001E-2</v>
      </c>
      <c r="L2193" s="33"/>
      <c r="O2193" s="2">
        <f t="shared" si="548"/>
        <v>1.9291666666666669E-2</v>
      </c>
      <c r="P2193" s="2">
        <f t="shared" si="549"/>
        <v>13.890000000000002</v>
      </c>
      <c r="Q2193" s="7">
        <f t="shared" si="550"/>
        <v>62.907608695652186</v>
      </c>
      <c r="R2193" s="2">
        <v>1.2</v>
      </c>
      <c r="S2193" s="2">
        <f t="shared" si="537"/>
        <v>4.45</v>
      </c>
      <c r="T2193" s="2"/>
      <c r="U2193" s="2"/>
      <c r="Y2193" s="8">
        <f t="shared" si="535"/>
        <v>2.2395108695652177</v>
      </c>
    </row>
    <row r="2194" spans="1:25" x14ac:dyDescent="0.25">
      <c r="A2194" s="70">
        <f t="shared" si="546"/>
        <v>2175</v>
      </c>
      <c r="B2194" s="77">
        <f t="shared" si="546"/>
        <v>187</v>
      </c>
      <c r="C2194" s="88" t="s">
        <v>648</v>
      </c>
      <c r="D2194" s="77" t="s">
        <v>128</v>
      </c>
      <c r="E2194" s="77"/>
      <c r="F2194" s="87">
        <v>0.146425</v>
      </c>
      <c r="G2194" s="87">
        <f>F2194*0.197</f>
        <v>2.8845725000000003E-2</v>
      </c>
      <c r="H2194" s="66">
        <v>5.604E-2</v>
      </c>
      <c r="I2194" s="66">
        <f>H2194*0.15</f>
        <v>8.4060000000000003E-3</v>
      </c>
      <c r="J2194" s="32">
        <f t="shared" si="536"/>
        <v>0.12468900000000001</v>
      </c>
      <c r="K2194" s="33">
        <f t="shared" si="547"/>
        <v>1.8703350000000001E-2</v>
      </c>
      <c r="L2194" s="33"/>
      <c r="O2194" s="2">
        <f t="shared" si="548"/>
        <v>2.3349999999999999E-2</v>
      </c>
      <c r="P2194" s="2">
        <f t="shared" si="549"/>
        <v>16.812000000000001</v>
      </c>
      <c r="Q2194" s="7">
        <f t="shared" si="550"/>
        <v>76.141304347826093</v>
      </c>
      <c r="R2194" s="2">
        <v>1.2</v>
      </c>
      <c r="S2194" s="2">
        <f t="shared" si="537"/>
        <v>4.45</v>
      </c>
      <c r="T2194" s="2"/>
      <c r="U2194" s="2"/>
      <c r="Y2194" s="8">
        <f t="shared" si="535"/>
        <v>2.7106304347826087</v>
      </c>
    </row>
    <row r="2195" spans="1:25" x14ac:dyDescent="0.25">
      <c r="A2195" s="70">
        <f t="shared" si="546"/>
        <v>2176</v>
      </c>
      <c r="B2195" s="77">
        <f t="shared" si="546"/>
        <v>188</v>
      </c>
      <c r="C2195" s="88" t="s">
        <v>648</v>
      </c>
      <c r="D2195" s="77">
        <v>32</v>
      </c>
      <c r="E2195" s="77"/>
      <c r="F2195" s="87">
        <v>8.7665000000000007E-2</v>
      </c>
      <c r="G2195" s="87">
        <f t="shared" si="544"/>
        <v>1.7270005000000001E-2</v>
      </c>
      <c r="H2195" s="66">
        <v>5.7790000000000001E-2</v>
      </c>
      <c r="I2195" s="66">
        <f t="shared" si="545"/>
        <v>8.6684999999999991E-3</v>
      </c>
      <c r="J2195" s="32">
        <f t="shared" si="536"/>
        <v>0.12858275</v>
      </c>
      <c r="K2195" s="33">
        <f t="shared" si="547"/>
        <v>1.92874125E-2</v>
      </c>
      <c r="L2195" s="24" t="s">
        <v>16</v>
      </c>
      <c r="O2195" s="2">
        <f t="shared" si="548"/>
        <v>2.4079166666666669E-2</v>
      </c>
      <c r="P2195" s="2">
        <f t="shared" si="549"/>
        <v>17.337000000000003</v>
      </c>
      <c r="Q2195" s="7">
        <f t="shared" si="550"/>
        <v>78.519021739130451</v>
      </c>
      <c r="R2195" s="2">
        <v>1.2</v>
      </c>
      <c r="S2195" s="2">
        <f t="shared" si="537"/>
        <v>4.45</v>
      </c>
      <c r="T2195" s="2"/>
      <c r="U2195" s="2"/>
      <c r="Y2195" s="8">
        <f t="shared" si="535"/>
        <v>2.7952771739130435</v>
      </c>
    </row>
    <row r="2196" spans="1:25" x14ac:dyDescent="0.25">
      <c r="A2196" s="70">
        <f t="shared" si="546"/>
        <v>2177</v>
      </c>
      <c r="B2196" s="77">
        <f t="shared" si="546"/>
        <v>189</v>
      </c>
      <c r="C2196" s="88" t="s">
        <v>648</v>
      </c>
      <c r="D2196" s="77">
        <v>34</v>
      </c>
      <c r="E2196" s="77"/>
      <c r="F2196" s="87">
        <v>0.101774</v>
      </c>
      <c r="G2196" s="87">
        <f t="shared" si="544"/>
        <v>2.0049478000000003E-2</v>
      </c>
      <c r="H2196" s="66">
        <v>5.6674000000000002E-2</v>
      </c>
      <c r="I2196" s="66">
        <f t="shared" si="545"/>
        <v>8.5010999999999993E-3</v>
      </c>
      <c r="J2196" s="32">
        <f t="shared" si="536"/>
        <v>0.12609965000000001</v>
      </c>
      <c r="K2196" s="33">
        <f t="shared" si="547"/>
        <v>1.8914947500000001E-2</v>
      </c>
      <c r="L2196" s="24" t="s">
        <v>16</v>
      </c>
      <c r="O2196" s="2">
        <f t="shared" si="548"/>
        <v>2.3614166666666669E-2</v>
      </c>
      <c r="P2196" s="2">
        <f t="shared" si="549"/>
        <v>17.002200000000002</v>
      </c>
      <c r="Q2196" s="7">
        <f t="shared" si="550"/>
        <v>77.002717391304358</v>
      </c>
      <c r="R2196" s="2">
        <v>1.2</v>
      </c>
      <c r="S2196" s="2">
        <f t="shared" si="537"/>
        <v>4.45</v>
      </c>
      <c r="T2196" s="2"/>
      <c r="U2196" s="2"/>
      <c r="Y2196" s="8">
        <f t="shared" si="535"/>
        <v>2.7412967391304353</v>
      </c>
    </row>
    <row r="2197" spans="1:25" x14ac:dyDescent="0.25">
      <c r="A2197" s="70">
        <f t="shared" si="546"/>
        <v>2178</v>
      </c>
      <c r="B2197" s="77">
        <f t="shared" si="546"/>
        <v>190</v>
      </c>
      <c r="C2197" s="88" t="s">
        <v>648</v>
      </c>
      <c r="D2197" s="77" t="s">
        <v>349</v>
      </c>
      <c r="E2197" s="77"/>
      <c r="F2197" s="87">
        <v>6.4450019999999997E-2</v>
      </c>
      <c r="G2197" s="87">
        <f t="shared" si="544"/>
        <v>1.269665394E-2</v>
      </c>
      <c r="H2197" s="66">
        <v>3.7130000000000003E-2</v>
      </c>
      <c r="I2197" s="66">
        <f t="shared" si="545"/>
        <v>5.5695000000000007E-3</v>
      </c>
      <c r="J2197" s="32">
        <f t="shared" si="536"/>
        <v>8.2614250000000014E-2</v>
      </c>
      <c r="K2197" s="33">
        <f t="shared" si="547"/>
        <v>1.2392137500000002E-2</v>
      </c>
      <c r="L2197" s="24" t="s">
        <v>16</v>
      </c>
      <c r="O2197" s="2">
        <f t="shared" si="548"/>
        <v>1.5470833333333335E-2</v>
      </c>
      <c r="P2197" s="2">
        <f t="shared" si="549"/>
        <v>11.139000000000001</v>
      </c>
      <c r="Q2197" s="7">
        <f t="shared" si="550"/>
        <v>50.448369565217398</v>
      </c>
      <c r="R2197" s="2">
        <v>1.2</v>
      </c>
      <c r="S2197" s="2">
        <f t="shared" si="537"/>
        <v>4.45</v>
      </c>
      <c r="T2197" s="2"/>
      <c r="U2197" s="2"/>
      <c r="Y2197" s="8">
        <f t="shared" si="535"/>
        <v>1.7959619565217395</v>
      </c>
    </row>
    <row r="2198" spans="1:25" x14ac:dyDescent="0.25">
      <c r="A2198" s="70">
        <f t="shared" si="546"/>
        <v>2179</v>
      </c>
      <c r="B2198" s="77">
        <f t="shared" si="546"/>
        <v>191</v>
      </c>
      <c r="C2198" s="88" t="s">
        <v>649</v>
      </c>
      <c r="D2198" s="77">
        <v>96</v>
      </c>
      <c r="E2198" s="77"/>
      <c r="F2198" s="87">
        <v>0.157195</v>
      </c>
      <c r="G2198" s="87">
        <f t="shared" si="544"/>
        <v>3.0967415000000002E-2</v>
      </c>
      <c r="H2198" s="66">
        <v>8.0135999999999999E-2</v>
      </c>
      <c r="I2198" s="66">
        <f t="shared" si="545"/>
        <v>1.2020399999999999E-2</v>
      </c>
      <c r="J2198" s="32">
        <f t="shared" si="536"/>
        <v>0.17830260000000001</v>
      </c>
      <c r="K2198" s="33">
        <f t="shared" si="547"/>
        <v>2.6745390000000001E-2</v>
      </c>
      <c r="L2198" s="33"/>
      <c r="O2198" s="2">
        <f t="shared" si="548"/>
        <v>3.3390000000000003E-2</v>
      </c>
      <c r="P2198" s="2">
        <f t="shared" si="549"/>
        <v>24.040800000000001</v>
      </c>
      <c r="Q2198" s="7">
        <f t="shared" si="550"/>
        <v>108.8804347826087</v>
      </c>
      <c r="R2198" s="2">
        <v>1.2</v>
      </c>
      <c r="S2198" s="2">
        <f t="shared" si="537"/>
        <v>4.45</v>
      </c>
      <c r="T2198" s="2"/>
      <c r="U2198" s="2"/>
      <c r="Y2198" s="8">
        <f t="shared" si="535"/>
        <v>3.8761434782608695</v>
      </c>
    </row>
    <row r="2199" spans="1:25" x14ac:dyDescent="0.25">
      <c r="A2199" s="70">
        <f t="shared" si="546"/>
        <v>2180</v>
      </c>
      <c r="B2199" s="77">
        <f t="shared" si="546"/>
        <v>192</v>
      </c>
      <c r="C2199" s="88" t="s">
        <v>649</v>
      </c>
      <c r="D2199" s="77" t="s">
        <v>650</v>
      </c>
      <c r="E2199" s="77"/>
      <c r="F2199" s="87">
        <v>0.17527799999999999</v>
      </c>
      <c r="G2199" s="87">
        <f t="shared" si="544"/>
        <v>3.4529765999999996E-2</v>
      </c>
      <c r="H2199" s="66">
        <v>8.2430000000000003E-2</v>
      </c>
      <c r="I2199" s="66">
        <f t="shared" si="545"/>
        <v>1.23645E-2</v>
      </c>
      <c r="J2199" s="32">
        <f t="shared" si="536"/>
        <v>0.18340675000000004</v>
      </c>
      <c r="K2199" s="33">
        <f t="shared" si="547"/>
        <v>2.7511012500000005E-2</v>
      </c>
      <c r="L2199" s="33"/>
      <c r="O2199" s="2">
        <f t="shared" si="548"/>
        <v>3.4345833333333339E-2</v>
      </c>
      <c r="P2199" s="2">
        <f t="shared" si="549"/>
        <v>24.729000000000003</v>
      </c>
      <c r="Q2199" s="7">
        <f t="shared" si="550"/>
        <v>111.99728260869567</v>
      </c>
      <c r="R2199" s="2">
        <v>1.2</v>
      </c>
      <c r="S2199" s="2">
        <f t="shared" si="537"/>
        <v>4.45</v>
      </c>
      <c r="T2199" s="2"/>
      <c r="U2199" s="2"/>
      <c r="Y2199" s="8">
        <f t="shared" ref="Y2199:Y2229" si="551">J2199/46*1000</f>
        <v>3.9871032608695662</v>
      </c>
    </row>
    <row r="2200" spans="1:25" x14ac:dyDescent="0.25">
      <c r="A2200" s="70">
        <f t="shared" si="546"/>
        <v>2181</v>
      </c>
      <c r="B2200" s="77">
        <f t="shared" si="546"/>
        <v>193</v>
      </c>
      <c r="C2200" s="88" t="s">
        <v>651</v>
      </c>
      <c r="D2200" s="77">
        <v>23</v>
      </c>
      <c r="E2200" s="77"/>
      <c r="F2200" s="87">
        <v>0.156</v>
      </c>
      <c r="G2200" s="87">
        <f t="shared" si="544"/>
        <v>3.0732000000000002E-2</v>
      </c>
      <c r="H2200" s="66">
        <v>6.3297999999999993E-2</v>
      </c>
      <c r="I2200" s="66">
        <f t="shared" si="545"/>
        <v>9.4946999999999983E-3</v>
      </c>
      <c r="J2200" s="32">
        <f t="shared" ref="J2200:J2229" si="552">O2200*R2200*S2200</f>
        <v>0.14083804999999999</v>
      </c>
      <c r="K2200" s="33">
        <f t="shared" si="547"/>
        <v>2.1125707499999997E-2</v>
      </c>
      <c r="L2200" s="33"/>
      <c r="O2200" s="2">
        <f t="shared" si="548"/>
        <v>2.6374166666666664E-2</v>
      </c>
      <c r="P2200" s="2">
        <f t="shared" si="549"/>
        <v>18.989399999999996</v>
      </c>
      <c r="Q2200" s="7">
        <f t="shared" si="550"/>
        <v>86.00271739130433</v>
      </c>
      <c r="R2200" s="2">
        <v>1.2</v>
      </c>
      <c r="S2200" s="2">
        <f t="shared" ref="S2200:S2229" si="553">IF(Q2200&lt;=$AE$6,$AF$6,IF(Q2200&lt;=$AE$7,$AF$7,IF(Q2200&lt;=$AE$8,$AF$8,IF(Q2200&lt;=$AE$9,$AF$9,IF(Q2200&lt;=$AE$10,$AF$10,0)))))</f>
        <v>4.45</v>
      </c>
      <c r="T2200" s="2"/>
      <c r="U2200" s="2"/>
      <c r="Y2200" s="8">
        <f t="shared" si="551"/>
        <v>3.0616967391304346</v>
      </c>
    </row>
    <row r="2201" spans="1:25" x14ac:dyDescent="0.25">
      <c r="A2201" s="70">
        <f t="shared" si="546"/>
        <v>2182</v>
      </c>
      <c r="B2201" s="77">
        <f t="shared" si="546"/>
        <v>194</v>
      </c>
      <c r="C2201" s="88" t="s">
        <v>651</v>
      </c>
      <c r="D2201" s="77">
        <v>24</v>
      </c>
      <c r="E2201" s="77"/>
      <c r="F2201" s="87">
        <v>0.156</v>
      </c>
      <c r="G2201" s="87">
        <f t="shared" si="544"/>
        <v>3.0732000000000002E-2</v>
      </c>
      <c r="H2201" s="66">
        <v>5.3726000000000003E-2</v>
      </c>
      <c r="I2201" s="66">
        <f t="shared" si="545"/>
        <v>8.0589000000000008E-3</v>
      </c>
      <c r="J2201" s="32">
        <f t="shared" si="552"/>
        <v>0.11954035000000002</v>
      </c>
      <c r="K2201" s="33">
        <f t="shared" si="547"/>
        <v>1.7931052500000003E-2</v>
      </c>
      <c r="L2201" s="33"/>
      <c r="O2201" s="2">
        <f t="shared" si="548"/>
        <v>2.2385833333333334E-2</v>
      </c>
      <c r="P2201" s="2">
        <f t="shared" si="549"/>
        <v>16.117800000000003</v>
      </c>
      <c r="Q2201" s="7">
        <f t="shared" si="550"/>
        <v>72.99728260869567</v>
      </c>
      <c r="R2201" s="2">
        <v>1.2</v>
      </c>
      <c r="S2201" s="2">
        <f t="shared" si="553"/>
        <v>4.45</v>
      </c>
      <c r="T2201" s="2"/>
      <c r="U2201" s="2"/>
      <c r="Y2201" s="8">
        <f t="shared" si="551"/>
        <v>2.5987032608695655</v>
      </c>
    </row>
    <row r="2202" spans="1:25" x14ac:dyDescent="0.25">
      <c r="A2202" s="70">
        <f t="shared" ref="A2202:B2217" si="554">A2201+1</f>
        <v>2183</v>
      </c>
      <c r="B2202" s="77">
        <f t="shared" si="554"/>
        <v>195</v>
      </c>
      <c r="C2202" s="88" t="s">
        <v>652</v>
      </c>
      <c r="D2202" s="77">
        <v>69</v>
      </c>
      <c r="E2202" s="77"/>
      <c r="F2202" s="87">
        <v>0.13202800000000001</v>
      </c>
      <c r="G2202" s="87">
        <f t="shared" si="544"/>
        <v>2.6009516000000003E-2</v>
      </c>
      <c r="H2202" s="66">
        <v>4.8840000000000001E-2</v>
      </c>
      <c r="I2202" s="66">
        <f t="shared" si="545"/>
        <v>7.326E-3</v>
      </c>
      <c r="J2202" s="32">
        <f t="shared" si="552"/>
        <v>0.108669</v>
      </c>
      <c r="K2202" s="33">
        <f t="shared" si="547"/>
        <v>1.6300349999999998E-2</v>
      </c>
      <c r="L2202" s="33"/>
      <c r="O2202" s="2">
        <f t="shared" si="548"/>
        <v>2.035E-2</v>
      </c>
      <c r="P2202" s="2">
        <f t="shared" si="549"/>
        <v>14.651999999999999</v>
      </c>
      <c r="Q2202" s="7">
        <f t="shared" si="550"/>
        <v>66.358695652173907</v>
      </c>
      <c r="R2202" s="2">
        <v>1.2</v>
      </c>
      <c r="S2202" s="2">
        <f t="shared" si="553"/>
        <v>4.45</v>
      </c>
      <c r="T2202" s="2"/>
      <c r="U2202" s="2"/>
      <c r="Y2202" s="8">
        <f t="shared" si="551"/>
        <v>2.3623695652173913</v>
      </c>
    </row>
    <row r="2203" spans="1:25" x14ac:dyDescent="0.25">
      <c r="A2203" s="70">
        <f t="shared" si="554"/>
        <v>2184</v>
      </c>
      <c r="B2203" s="77">
        <f t="shared" si="554"/>
        <v>196</v>
      </c>
      <c r="C2203" s="88" t="s">
        <v>652</v>
      </c>
      <c r="D2203" s="77">
        <v>71</v>
      </c>
      <c r="E2203" s="77"/>
      <c r="F2203" s="87">
        <v>0.13711300000000001</v>
      </c>
      <c r="G2203" s="87">
        <f t="shared" si="544"/>
        <v>2.7011261000000005E-2</v>
      </c>
      <c r="H2203" s="66">
        <v>6.0352999999999997E-2</v>
      </c>
      <c r="I2203" s="66">
        <f t="shared" si="545"/>
        <v>9.0529499999999988E-3</v>
      </c>
      <c r="J2203" s="32">
        <f t="shared" si="552"/>
        <v>0.13428542499999999</v>
      </c>
      <c r="K2203" s="33">
        <f t="shared" si="547"/>
        <v>2.0142813749999999E-2</v>
      </c>
      <c r="L2203" s="33"/>
      <c r="O2203" s="2">
        <f t="shared" si="548"/>
        <v>2.5147083333333334E-2</v>
      </c>
      <c r="P2203" s="2">
        <f t="shared" si="549"/>
        <v>18.105900000000002</v>
      </c>
      <c r="Q2203" s="7">
        <f t="shared" si="550"/>
        <v>82.001358695652186</v>
      </c>
      <c r="R2203" s="2">
        <v>1.2</v>
      </c>
      <c r="S2203" s="2">
        <f t="shared" si="553"/>
        <v>4.45</v>
      </c>
      <c r="T2203" s="2"/>
      <c r="U2203" s="2"/>
      <c r="Y2203" s="8">
        <f t="shared" si="551"/>
        <v>2.9192483695652172</v>
      </c>
    </row>
    <row r="2204" spans="1:25" x14ac:dyDescent="0.25">
      <c r="A2204" s="70">
        <f t="shared" si="554"/>
        <v>2185</v>
      </c>
      <c r="B2204" s="77">
        <f t="shared" si="554"/>
        <v>197</v>
      </c>
      <c r="C2204" s="88" t="s">
        <v>647</v>
      </c>
      <c r="D2204" s="77" t="s">
        <v>85</v>
      </c>
      <c r="E2204" s="77"/>
      <c r="F2204" s="87">
        <v>0.15687799999999999</v>
      </c>
      <c r="G2204" s="87">
        <f t="shared" si="544"/>
        <v>3.0904965999999999E-2</v>
      </c>
      <c r="H2204" s="66">
        <v>3.0178E-2</v>
      </c>
      <c r="I2204" s="66">
        <f t="shared" si="545"/>
        <v>4.5266999999999998E-3</v>
      </c>
      <c r="J2204" s="32">
        <f t="shared" si="552"/>
        <v>6.7146049999999999E-2</v>
      </c>
      <c r="K2204" s="33">
        <f t="shared" si="547"/>
        <v>1.0071907499999999E-2</v>
      </c>
      <c r="L2204" s="33"/>
      <c r="O2204" s="2">
        <f t="shared" si="548"/>
        <v>1.2574166666666668E-2</v>
      </c>
      <c r="P2204" s="2">
        <f t="shared" si="549"/>
        <v>9.0534000000000017</v>
      </c>
      <c r="Q2204" s="7">
        <f t="shared" si="550"/>
        <v>41.002717391304358</v>
      </c>
      <c r="R2204" s="2">
        <v>1.2</v>
      </c>
      <c r="S2204" s="2">
        <f t="shared" si="553"/>
        <v>4.45</v>
      </c>
      <c r="T2204" s="2"/>
      <c r="U2204" s="2"/>
      <c r="Y2204" s="8">
        <f t="shared" si="551"/>
        <v>1.4596967391304347</v>
      </c>
    </row>
    <row r="2205" spans="1:25" x14ac:dyDescent="0.25">
      <c r="A2205" s="70">
        <f t="shared" si="554"/>
        <v>2186</v>
      </c>
      <c r="B2205" s="77">
        <f t="shared" si="554"/>
        <v>198</v>
      </c>
      <c r="C2205" s="88" t="s">
        <v>647</v>
      </c>
      <c r="D2205" s="77">
        <v>12</v>
      </c>
      <c r="E2205" s="77"/>
      <c r="F2205" s="87">
        <v>5.3059000000000002E-2</v>
      </c>
      <c r="G2205" s="87">
        <f t="shared" si="544"/>
        <v>1.0452623000000001E-2</v>
      </c>
      <c r="H2205" s="66">
        <v>1.2175999999999999E-2</v>
      </c>
      <c r="I2205" s="66">
        <f t="shared" si="545"/>
        <v>1.8263999999999997E-3</v>
      </c>
      <c r="J2205" s="32">
        <f t="shared" si="552"/>
        <v>2.70916E-2</v>
      </c>
      <c r="K2205" s="33">
        <f t="shared" si="547"/>
        <v>4.0637399999999997E-3</v>
      </c>
      <c r="L2205" s="33"/>
      <c r="O2205" s="2">
        <f t="shared" si="548"/>
        <v>5.0733333333333333E-3</v>
      </c>
      <c r="P2205" s="2">
        <f t="shared" si="549"/>
        <v>3.6528</v>
      </c>
      <c r="Q2205" s="7">
        <f t="shared" si="550"/>
        <v>16.543478260869566</v>
      </c>
      <c r="R2205" s="2">
        <v>1.2</v>
      </c>
      <c r="S2205" s="2">
        <f t="shared" si="553"/>
        <v>4.45</v>
      </c>
      <c r="T2205" s="2"/>
      <c r="U2205" s="2"/>
      <c r="Y2205" s="8">
        <f t="shared" si="551"/>
        <v>0.58894782608695662</v>
      </c>
    </row>
    <row r="2206" spans="1:25" x14ac:dyDescent="0.25">
      <c r="A2206" s="70">
        <f t="shared" si="554"/>
        <v>2187</v>
      </c>
      <c r="B2206" s="77">
        <f t="shared" si="554"/>
        <v>199</v>
      </c>
      <c r="C2206" s="88" t="s">
        <v>647</v>
      </c>
      <c r="D2206" s="77">
        <v>14</v>
      </c>
      <c r="E2206" s="77"/>
      <c r="F2206" s="87">
        <v>0.11017122</v>
      </c>
      <c r="G2206" s="87">
        <f t="shared" si="544"/>
        <v>2.1703730340000001E-2</v>
      </c>
      <c r="H2206" s="66">
        <v>4.1866E-2</v>
      </c>
      <c r="I2206" s="66">
        <f t="shared" si="545"/>
        <v>6.2798999999999997E-3</v>
      </c>
      <c r="J2206" s="32">
        <f t="shared" si="552"/>
        <v>9.3151850000000008E-2</v>
      </c>
      <c r="K2206" s="33">
        <f t="shared" si="547"/>
        <v>1.39727775E-2</v>
      </c>
      <c r="L2206" s="33"/>
      <c r="O2206" s="2">
        <f t="shared" si="548"/>
        <v>1.7444166666666667E-2</v>
      </c>
      <c r="P2206" s="2">
        <f t="shared" si="549"/>
        <v>12.559800000000001</v>
      </c>
      <c r="Q2206" s="7">
        <f t="shared" si="550"/>
        <v>56.883152173913047</v>
      </c>
      <c r="R2206" s="2">
        <v>1.2</v>
      </c>
      <c r="S2206" s="2">
        <f t="shared" si="553"/>
        <v>4.45</v>
      </c>
      <c r="T2206" s="2"/>
      <c r="U2206" s="2"/>
      <c r="Y2206" s="8">
        <f t="shared" si="551"/>
        <v>2.0250402173913047</v>
      </c>
    </row>
    <row r="2207" spans="1:25" x14ac:dyDescent="0.25">
      <c r="A2207" s="70">
        <f t="shared" si="554"/>
        <v>2188</v>
      </c>
      <c r="B2207" s="77">
        <f t="shared" si="554"/>
        <v>200</v>
      </c>
      <c r="C2207" s="88" t="s">
        <v>647</v>
      </c>
      <c r="D2207" s="77">
        <v>16</v>
      </c>
      <c r="E2207" s="77"/>
      <c r="F2207" s="87">
        <v>9.6549999999999997E-2</v>
      </c>
      <c r="G2207" s="87">
        <f t="shared" si="544"/>
        <v>1.9020350000000002E-2</v>
      </c>
      <c r="H2207" s="66">
        <v>3.5400000000000001E-2</v>
      </c>
      <c r="I2207" s="66">
        <f t="shared" si="545"/>
        <v>5.3099999999999996E-3</v>
      </c>
      <c r="J2207" s="32">
        <f t="shared" si="552"/>
        <v>7.8765000000000002E-2</v>
      </c>
      <c r="K2207" s="33">
        <f t="shared" si="547"/>
        <v>1.1814750000000001E-2</v>
      </c>
      <c r="L2207" s="33"/>
      <c r="O2207" s="2">
        <f t="shared" si="548"/>
        <v>1.4750000000000001E-2</v>
      </c>
      <c r="P2207" s="2">
        <f t="shared" si="549"/>
        <v>10.620000000000001</v>
      </c>
      <c r="Q2207" s="7">
        <f t="shared" si="550"/>
        <v>48.09782608695653</v>
      </c>
      <c r="R2207" s="2">
        <v>1.2</v>
      </c>
      <c r="S2207" s="2">
        <f t="shared" si="553"/>
        <v>4.45</v>
      </c>
      <c r="T2207" s="2"/>
      <c r="U2207" s="2"/>
      <c r="Y2207" s="8">
        <f t="shared" si="551"/>
        <v>1.7122826086956522</v>
      </c>
    </row>
    <row r="2208" spans="1:25" x14ac:dyDescent="0.25">
      <c r="A2208" s="70">
        <f t="shared" si="554"/>
        <v>2189</v>
      </c>
      <c r="B2208" s="77">
        <f t="shared" si="554"/>
        <v>201</v>
      </c>
      <c r="C2208" s="88" t="s">
        <v>647</v>
      </c>
      <c r="D2208" s="77">
        <v>18</v>
      </c>
      <c r="E2208" s="77"/>
      <c r="F2208" s="87">
        <v>5.5778000000000001E-2</v>
      </c>
      <c r="G2208" s="87">
        <f t="shared" si="544"/>
        <v>1.0988266E-2</v>
      </c>
      <c r="H2208" s="66">
        <v>2.2079999999999999E-2</v>
      </c>
      <c r="I2208" s="66">
        <f>H2208*0.15</f>
        <v>3.3119999999999998E-3</v>
      </c>
      <c r="J2208" s="32">
        <f t="shared" si="552"/>
        <v>4.9127999999999998E-2</v>
      </c>
      <c r="K2208" s="33">
        <f t="shared" si="547"/>
        <v>7.3691999999999994E-3</v>
      </c>
      <c r="L2208" s="33"/>
      <c r="O2208" s="2">
        <f t="shared" si="548"/>
        <v>9.1999999999999998E-3</v>
      </c>
      <c r="P2208" s="2">
        <f t="shared" si="549"/>
        <v>6.6239999999999997</v>
      </c>
      <c r="Q2208" s="7">
        <f t="shared" si="550"/>
        <v>30</v>
      </c>
      <c r="R2208" s="2">
        <v>1.2</v>
      </c>
      <c r="S2208" s="2">
        <f t="shared" si="553"/>
        <v>4.45</v>
      </c>
      <c r="T2208" s="2"/>
      <c r="U2208" s="2"/>
      <c r="Y2208" s="8">
        <f t="shared" si="551"/>
        <v>1.0679999999999998</v>
      </c>
    </row>
    <row r="2209" spans="1:25" x14ac:dyDescent="0.25">
      <c r="A2209" s="70">
        <f t="shared" si="554"/>
        <v>2190</v>
      </c>
      <c r="B2209" s="77">
        <f t="shared" si="554"/>
        <v>202</v>
      </c>
      <c r="C2209" s="88" t="s">
        <v>647</v>
      </c>
      <c r="D2209" s="77">
        <v>30</v>
      </c>
      <c r="E2209" s="77"/>
      <c r="F2209" s="87">
        <v>0.15060699999999999</v>
      </c>
      <c r="G2209" s="87">
        <f t="shared" si="544"/>
        <v>2.9669578999999998E-2</v>
      </c>
      <c r="H2209" s="66">
        <v>5.4462999999999998E-2</v>
      </c>
      <c r="I2209" s="66">
        <f t="shared" si="545"/>
        <v>8.16945E-3</v>
      </c>
      <c r="J2209" s="32">
        <f t="shared" si="552"/>
        <v>0.121180175</v>
      </c>
      <c r="K2209" s="33">
        <f t="shared" si="547"/>
        <v>1.8177026249999999E-2</v>
      </c>
      <c r="L2209" s="33"/>
      <c r="O2209" s="2">
        <f t="shared" si="548"/>
        <v>2.2692916666666667E-2</v>
      </c>
      <c r="P2209" s="2">
        <f t="shared" si="549"/>
        <v>16.338899999999999</v>
      </c>
      <c r="Q2209" s="7">
        <f t="shared" si="550"/>
        <v>73.998641304347828</v>
      </c>
      <c r="R2209" s="2">
        <v>1.2</v>
      </c>
      <c r="S2209" s="2">
        <f t="shared" si="553"/>
        <v>4.45</v>
      </c>
      <c r="T2209" s="2"/>
      <c r="U2209" s="2"/>
      <c r="Y2209" s="8">
        <f t="shared" si="551"/>
        <v>2.6343516304347827</v>
      </c>
    </row>
    <row r="2210" spans="1:25" x14ac:dyDescent="0.25">
      <c r="A2210" s="70">
        <f t="shared" si="554"/>
        <v>2191</v>
      </c>
      <c r="B2210" s="77">
        <f t="shared" si="554"/>
        <v>203</v>
      </c>
      <c r="C2210" s="88" t="s">
        <v>653</v>
      </c>
      <c r="D2210" s="77" t="s">
        <v>111</v>
      </c>
      <c r="E2210" s="77"/>
      <c r="F2210" s="87">
        <v>9.5736000000000002E-2</v>
      </c>
      <c r="G2210" s="87">
        <f t="shared" si="544"/>
        <v>1.8859992000000003E-2</v>
      </c>
      <c r="H2210" s="66">
        <v>3.0914000000000001E-2</v>
      </c>
      <c r="I2210" s="66">
        <f t="shared" si="545"/>
        <v>4.6370999999999999E-3</v>
      </c>
      <c r="J2210" s="32">
        <f t="shared" si="552"/>
        <v>6.8783650000000002E-2</v>
      </c>
      <c r="K2210" s="33">
        <f t="shared" si="547"/>
        <v>1.03175475E-2</v>
      </c>
      <c r="L2210" s="33"/>
      <c r="O2210" s="2">
        <f t="shared" si="548"/>
        <v>1.2880833333333334E-2</v>
      </c>
      <c r="P2210" s="2">
        <f t="shared" si="549"/>
        <v>9.2742000000000004</v>
      </c>
      <c r="Q2210" s="7">
        <f t="shared" si="550"/>
        <v>42.002717391304351</v>
      </c>
      <c r="R2210" s="2">
        <v>1.2</v>
      </c>
      <c r="S2210" s="2">
        <f t="shared" si="553"/>
        <v>4.45</v>
      </c>
      <c r="T2210" s="2"/>
      <c r="U2210" s="2"/>
      <c r="Y2210" s="8">
        <f t="shared" si="551"/>
        <v>1.4952967391304348</v>
      </c>
    </row>
    <row r="2211" spans="1:25" x14ac:dyDescent="0.25">
      <c r="A2211" s="70">
        <f t="shared" si="554"/>
        <v>2192</v>
      </c>
      <c r="B2211" s="77">
        <f t="shared" si="554"/>
        <v>204</v>
      </c>
      <c r="C2211" s="88" t="s">
        <v>653</v>
      </c>
      <c r="D2211" s="77">
        <v>38</v>
      </c>
      <c r="E2211" s="77"/>
      <c r="F2211" s="87">
        <v>4.9410000000000003E-2</v>
      </c>
      <c r="G2211" s="87">
        <f t="shared" si="544"/>
        <v>9.733770000000001E-3</v>
      </c>
      <c r="H2211" s="66">
        <v>1.8456E-2</v>
      </c>
      <c r="I2211" s="66">
        <f t="shared" si="545"/>
        <v>2.7683999999999999E-3</v>
      </c>
      <c r="J2211" s="32">
        <f t="shared" si="552"/>
        <v>4.10646E-2</v>
      </c>
      <c r="K2211" s="33">
        <f t="shared" si="547"/>
        <v>6.1596899999999998E-3</v>
      </c>
      <c r="L2211" s="33"/>
      <c r="O2211" s="2">
        <f t="shared" si="548"/>
        <v>7.6900000000000007E-3</v>
      </c>
      <c r="P2211" s="2">
        <f t="shared" si="549"/>
        <v>5.5368000000000004</v>
      </c>
      <c r="Q2211" s="7">
        <f t="shared" si="550"/>
        <v>25.076086956521742</v>
      </c>
      <c r="R2211" s="2">
        <v>1.2</v>
      </c>
      <c r="S2211" s="2">
        <f t="shared" si="553"/>
        <v>4.45</v>
      </c>
      <c r="T2211" s="2"/>
      <c r="U2211" s="2"/>
      <c r="Y2211" s="8">
        <f t="shared" si="551"/>
        <v>0.89270869565217381</v>
      </c>
    </row>
    <row r="2212" spans="1:25" x14ac:dyDescent="0.25">
      <c r="A2212" s="70">
        <f t="shared" si="554"/>
        <v>2193</v>
      </c>
      <c r="B2212" s="77">
        <f t="shared" si="554"/>
        <v>205</v>
      </c>
      <c r="C2212" s="88" t="s">
        <v>653</v>
      </c>
      <c r="D2212" s="77" t="s">
        <v>654</v>
      </c>
      <c r="E2212" s="77"/>
      <c r="F2212" s="87">
        <v>0.11121200000000001</v>
      </c>
      <c r="G2212" s="87">
        <f t="shared" si="544"/>
        <v>2.1908764000000001E-2</v>
      </c>
      <c r="H2212" s="66">
        <v>8.0959000000000003E-2</v>
      </c>
      <c r="I2212" s="66">
        <f t="shared" si="545"/>
        <v>1.2143849999999999E-2</v>
      </c>
      <c r="J2212" s="32">
        <f t="shared" si="552"/>
        <v>0.18013377500000002</v>
      </c>
      <c r="K2212" s="33">
        <f t="shared" si="547"/>
        <v>2.7020066250000002E-2</v>
      </c>
      <c r="L2212" s="24" t="s">
        <v>16</v>
      </c>
      <c r="O2212" s="2">
        <f t="shared" si="548"/>
        <v>3.3732916666666668E-2</v>
      </c>
      <c r="P2212" s="2">
        <f t="shared" si="549"/>
        <v>24.287700000000001</v>
      </c>
      <c r="Q2212" s="7">
        <f t="shared" si="550"/>
        <v>109.99864130434783</v>
      </c>
      <c r="R2212" s="2">
        <v>1.2</v>
      </c>
      <c r="S2212" s="2">
        <f t="shared" si="553"/>
        <v>4.45</v>
      </c>
      <c r="T2212" s="2"/>
      <c r="U2212" s="2"/>
      <c r="Y2212" s="8">
        <f t="shared" si="551"/>
        <v>3.9159516304347832</v>
      </c>
    </row>
    <row r="2213" spans="1:25" x14ac:dyDescent="0.25">
      <c r="A2213" s="70">
        <f t="shared" si="554"/>
        <v>2194</v>
      </c>
      <c r="B2213" s="77">
        <f t="shared" si="554"/>
        <v>206</v>
      </c>
      <c r="C2213" s="88" t="s">
        <v>653</v>
      </c>
      <c r="D2213" s="51" t="s">
        <v>655</v>
      </c>
      <c r="E2213" s="51"/>
      <c r="F2213" s="87">
        <v>0.31205500000000003</v>
      </c>
      <c r="G2213" s="87">
        <f>F2213*0.197</f>
        <v>6.1474835000000005E-2</v>
      </c>
      <c r="H2213" s="66">
        <v>7.3644000000000001E-2</v>
      </c>
      <c r="I2213" s="66">
        <f t="shared" si="545"/>
        <v>1.10466E-2</v>
      </c>
      <c r="J2213" s="32">
        <f t="shared" si="552"/>
        <v>0.1638579</v>
      </c>
      <c r="K2213" s="33">
        <f t="shared" si="547"/>
        <v>2.4578684999999999E-2</v>
      </c>
      <c r="L2213" s="24" t="s">
        <v>16</v>
      </c>
      <c r="O2213" s="2">
        <f t="shared" si="548"/>
        <v>3.0685E-2</v>
      </c>
      <c r="P2213" s="2">
        <f t="shared" si="549"/>
        <v>22.0932</v>
      </c>
      <c r="Q2213" s="7">
        <f t="shared" si="550"/>
        <v>100.05978260869566</v>
      </c>
      <c r="R2213" s="2">
        <v>1.2</v>
      </c>
      <c r="S2213" s="2">
        <f t="shared" si="553"/>
        <v>4.45</v>
      </c>
      <c r="T2213" s="2"/>
      <c r="U2213" s="2"/>
      <c r="Y2213" s="8">
        <f t="shared" si="551"/>
        <v>3.5621282608695655</v>
      </c>
    </row>
    <row r="2214" spans="1:25" x14ac:dyDescent="0.25">
      <c r="A2214" s="70">
        <f t="shared" si="554"/>
        <v>2195</v>
      </c>
      <c r="B2214" s="77">
        <f t="shared" si="554"/>
        <v>207</v>
      </c>
      <c r="C2214" s="88" t="s">
        <v>656</v>
      </c>
      <c r="D2214" s="51">
        <v>17</v>
      </c>
      <c r="E2214" s="51"/>
      <c r="F2214" s="87">
        <v>6.9527000000000005E-2</v>
      </c>
      <c r="G2214" s="87">
        <f t="shared" si="544"/>
        <v>1.3696819000000002E-2</v>
      </c>
      <c r="H2214" s="66">
        <v>1.1780000000000001E-2</v>
      </c>
      <c r="I2214" s="66">
        <f t="shared" si="545"/>
        <v>1.7669999999999999E-3</v>
      </c>
      <c r="J2214" s="32">
        <f t="shared" si="552"/>
        <v>2.6210500000000001E-2</v>
      </c>
      <c r="K2214" s="33">
        <f t="shared" si="547"/>
        <v>3.9315749999999997E-3</v>
      </c>
      <c r="L2214" s="24" t="s">
        <v>16</v>
      </c>
      <c r="O2214" s="2">
        <f t="shared" si="548"/>
        <v>4.908333333333334E-3</v>
      </c>
      <c r="P2214" s="2">
        <f t="shared" si="549"/>
        <v>3.5340000000000007</v>
      </c>
      <c r="Q2214" s="7">
        <f t="shared" si="550"/>
        <v>16.005434782608699</v>
      </c>
      <c r="R2214" s="2">
        <v>1.2</v>
      </c>
      <c r="S2214" s="2">
        <f t="shared" si="553"/>
        <v>4.45</v>
      </c>
      <c r="T2214" s="2"/>
      <c r="U2214" s="2"/>
      <c r="Y2214" s="8">
        <f t="shared" si="551"/>
        <v>0.56979347826086957</v>
      </c>
    </row>
    <row r="2215" spans="1:25" x14ac:dyDescent="0.25">
      <c r="A2215" s="70">
        <f t="shared" si="554"/>
        <v>2196</v>
      </c>
      <c r="B2215" s="77">
        <f t="shared" si="554"/>
        <v>208</v>
      </c>
      <c r="C2215" s="88" t="s">
        <v>657</v>
      </c>
      <c r="D2215" s="51">
        <v>26</v>
      </c>
      <c r="E2215" s="51"/>
      <c r="F2215" s="87">
        <v>3.2205999999999999E-2</v>
      </c>
      <c r="G2215" s="87">
        <f t="shared" si="544"/>
        <v>6.3445819999999997E-3</v>
      </c>
      <c r="H2215" s="66">
        <v>6.6299999999999996E-3</v>
      </c>
      <c r="I2215" s="66">
        <f t="shared" si="545"/>
        <v>9.9449999999999994E-4</v>
      </c>
      <c r="J2215" s="32">
        <f t="shared" si="552"/>
        <v>1.4751749999999999E-2</v>
      </c>
      <c r="K2215" s="33">
        <f t="shared" si="547"/>
        <v>2.2127624999999998E-3</v>
      </c>
      <c r="L2215" s="24" t="s">
        <v>16</v>
      </c>
      <c r="O2215" s="2">
        <f t="shared" si="548"/>
        <v>2.7624999999999998E-3</v>
      </c>
      <c r="P2215" s="2">
        <f t="shared" si="549"/>
        <v>1.9889999999999999</v>
      </c>
      <c r="Q2215" s="7">
        <f t="shared" si="550"/>
        <v>9.008152173913043</v>
      </c>
      <c r="R2215" s="2">
        <v>1.2</v>
      </c>
      <c r="S2215" s="2">
        <f t="shared" si="553"/>
        <v>4.45</v>
      </c>
      <c r="T2215" s="2"/>
      <c r="U2215" s="2"/>
      <c r="Y2215" s="8">
        <f t="shared" si="551"/>
        <v>0.32069021739130432</v>
      </c>
    </row>
    <row r="2216" spans="1:25" x14ac:dyDescent="0.25">
      <c r="A2216" s="70">
        <f t="shared" si="554"/>
        <v>2197</v>
      </c>
      <c r="B2216" s="77">
        <f t="shared" si="554"/>
        <v>209</v>
      </c>
      <c r="C2216" s="88" t="s">
        <v>657</v>
      </c>
      <c r="D2216" s="51">
        <v>28</v>
      </c>
      <c r="E2216" s="51"/>
      <c r="F2216" s="87">
        <v>5.9320279999999996E-2</v>
      </c>
      <c r="G2216" s="87">
        <f t="shared" si="544"/>
        <v>1.168609516E-2</v>
      </c>
      <c r="H2216" s="66">
        <v>1.1776E-2</v>
      </c>
      <c r="I2216" s="66">
        <f t="shared" si="545"/>
        <v>1.7664E-3</v>
      </c>
      <c r="J2216" s="32">
        <f t="shared" si="552"/>
        <v>2.6201600000000002E-2</v>
      </c>
      <c r="K2216" s="33">
        <f t="shared" si="547"/>
        <v>3.9302399999999998E-3</v>
      </c>
      <c r="L2216" s="24" t="s">
        <v>16</v>
      </c>
      <c r="O2216" s="2">
        <f t="shared" si="548"/>
        <v>4.9066666666666668E-3</v>
      </c>
      <c r="P2216" s="2">
        <f t="shared" si="549"/>
        <v>3.5327999999999999</v>
      </c>
      <c r="Q2216" s="7">
        <f t="shared" si="550"/>
        <v>16</v>
      </c>
      <c r="R2216" s="2">
        <v>1.2</v>
      </c>
      <c r="S2216" s="2">
        <f t="shared" si="553"/>
        <v>4.45</v>
      </c>
      <c r="T2216" s="2"/>
      <c r="U2216" s="2"/>
      <c r="Y2216" s="8">
        <f t="shared" si="551"/>
        <v>0.56960000000000011</v>
      </c>
    </row>
    <row r="2217" spans="1:25" x14ac:dyDescent="0.25">
      <c r="A2217" s="70">
        <f t="shared" si="554"/>
        <v>2198</v>
      </c>
      <c r="B2217" s="77">
        <f t="shared" si="554"/>
        <v>210</v>
      </c>
      <c r="C2217" s="88" t="s">
        <v>657</v>
      </c>
      <c r="D2217" s="51">
        <v>44</v>
      </c>
      <c r="E2217" s="51"/>
      <c r="F2217" s="87">
        <v>5.5279370000000001E-2</v>
      </c>
      <c r="G2217" s="87">
        <f t="shared" si="544"/>
        <v>1.089003589E-2</v>
      </c>
      <c r="H2217" s="66">
        <v>1.1039999999999999E-2</v>
      </c>
      <c r="I2217" s="66">
        <f t="shared" si="545"/>
        <v>1.6559999999999999E-3</v>
      </c>
      <c r="J2217" s="32">
        <f t="shared" si="552"/>
        <v>2.4563999999999999E-2</v>
      </c>
      <c r="K2217" s="33">
        <f t="shared" si="547"/>
        <v>3.6845999999999997E-3</v>
      </c>
      <c r="L2217" s="24" t="s">
        <v>16</v>
      </c>
      <c r="O2217" s="2">
        <f t="shared" si="548"/>
        <v>4.5999999999999999E-3</v>
      </c>
      <c r="P2217" s="2">
        <f t="shared" si="549"/>
        <v>3.3119999999999998</v>
      </c>
      <c r="Q2217" s="7">
        <f t="shared" si="550"/>
        <v>15</v>
      </c>
      <c r="R2217" s="2">
        <v>1.2</v>
      </c>
      <c r="S2217" s="2">
        <f t="shared" si="553"/>
        <v>4.45</v>
      </c>
      <c r="T2217" s="2"/>
      <c r="U2217" s="2"/>
      <c r="Y2217" s="8">
        <f t="shared" si="551"/>
        <v>0.53399999999999992</v>
      </c>
    </row>
    <row r="2218" spans="1:25" x14ac:dyDescent="0.25">
      <c r="A2218" s="70">
        <f t="shared" ref="A2218:B2229" si="555">A2217+1</f>
        <v>2199</v>
      </c>
      <c r="B2218" s="77">
        <f t="shared" si="555"/>
        <v>211</v>
      </c>
      <c r="C2218" s="88" t="s">
        <v>658</v>
      </c>
      <c r="D2218" s="51">
        <v>9</v>
      </c>
      <c r="E2218" s="51"/>
      <c r="F2218" s="87">
        <v>0.133571</v>
      </c>
      <c r="G2218" s="87">
        <f t="shared" si="544"/>
        <v>2.6313487E-2</v>
      </c>
      <c r="H2218" s="66">
        <v>5.5937000000000001E-2</v>
      </c>
      <c r="I2218" s="66">
        <f t="shared" si="545"/>
        <v>8.3905500000000001E-3</v>
      </c>
      <c r="J2218" s="32">
        <f t="shared" si="552"/>
        <v>0.12445982500000002</v>
      </c>
      <c r="K2218" s="33">
        <f t="shared" si="547"/>
        <v>1.8668973750000002E-2</v>
      </c>
      <c r="L2218" s="33"/>
      <c r="O2218" s="2">
        <f t="shared" si="548"/>
        <v>2.3307083333333336E-2</v>
      </c>
      <c r="P2218" s="2">
        <f t="shared" si="549"/>
        <v>16.781100000000002</v>
      </c>
      <c r="Q2218" s="7">
        <f t="shared" si="550"/>
        <v>76.001358695652186</v>
      </c>
      <c r="R2218" s="2">
        <v>1.2</v>
      </c>
      <c r="S2218" s="2">
        <f t="shared" si="553"/>
        <v>4.45</v>
      </c>
      <c r="T2218" s="2"/>
      <c r="U2218" s="2"/>
      <c r="Y2218" s="8">
        <f t="shared" si="551"/>
        <v>2.705648369565218</v>
      </c>
    </row>
    <row r="2219" spans="1:25" x14ac:dyDescent="0.25">
      <c r="A2219" s="70">
        <f t="shared" si="555"/>
        <v>2200</v>
      </c>
      <c r="B2219" s="77">
        <f t="shared" si="555"/>
        <v>212</v>
      </c>
      <c r="C2219" s="88" t="s">
        <v>659</v>
      </c>
      <c r="D2219" s="51">
        <v>217</v>
      </c>
      <c r="E2219" s="51"/>
      <c r="F2219" s="87">
        <v>0.127661</v>
      </c>
      <c r="G2219" s="87">
        <f t="shared" si="544"/>
        <v>2.5149217000000001E-2</v>
      </c>
      <c r="H2219" s="66">
        <v>5.9616000000000002E-2</v>
      </c>
      <c r="I2219" s="66">
        <f t="shared" si="545"/>
        <v>8.9423999999999997E-3</v>
      </c>
      <c r="J2219" s="32">
        <f t="shared" si="552"/>
        <v>0.1326456</v>
      </c>
      <c r="K2219" s="33">
        <f t="shared" si="547"/>
        <v>1.9896839999999999E-2</v>
      </c>
      <c r="L2219" s="33"/>
      <c r="O2219" s="2">
        <f t="shared" si="548"/>
        <v>2.4840000000000001E-2</v>
      </c>
      <c r="P2219" s="2">
        <f t="shared" si="549"/>
        <v>17.884800000000002</v>
      </c>
      <c r="Q2219" s="7">
        <f t="shared" si="550"/>
        <v>81.000000000000014</v>
      </c>
      <c r="R2219" s="2">
        <v>1.2</v>
      </c>
      <c r="S2219" s="2">
        <f t="shared" si="553"/>
        <v>4.45</v>
      </c>
      <c r="T2219" s="2"/>
      <c r="U2219" s="2"/>
      <c r="Y2219" s="8">
        <f t="shared" si="551"/>
        <v>2.8835999999999999</v>
      </c>
    </row>
    <row r="2220" spans="1:25" x14ac:dyDescent="0.25">
      <c r="A2220" s="70">
        <f t="shared" si="555"/>
        <v>2201</v>
      </c>
      <c r="B2220" s="77">
        <f t="shared" si="555"/>
        <v>213</v>
      </c>
      <c r="C2220" s="88" t="s">
        <v>660</v>
      </c>
      <c r="D2220" s="51">
        <v>22</v>
      </c>
      <c r="E2220" s="51"/>
      <c r="F2220" s="87">
        <v>0.110334</v>
      </c>
      <c r="G2220" s="87">
        <f t="shared" si="544"/>
        <v>2.1735798000000001E-2</v>
      </c>
      <c r="H2220" s="66">
        <v>3.6798999999999998E-2</v>
      </c>
      <c r="I2220" s="66">
        <f t="shared" si="545"/>
        <v>5.5198499999999998E-3</v>
      </c>
      <c r="J2220" s="32">
        <f t="shared" si="552"/>
        <v>8.1877775E-2</v>
      </c>
      <c r="K2220" s="33">
        <f t="shared" si="547"/>
        <v>1.228166625E-2</v>
      </c>
      <c r="L2220" s="33"/>
      <c r="O2220" s="2">
        <f t="shared" si="548"/>
        <v>1.5332916666666667E-2</v>
      </c>
      <c r="P2220" s="2">
        <f t="shared" si="549"/>
        <v>11.0397</v>
      </c>
      <c r="Q2220" s="7">
        <f t="shared" si="550"/>
        <v>49.998641304347828</v>
      </c>
      <c r="R2220" s="2">
        <v>1.2</v>
      </c>
      <c r="S2220" s="2">
        <f t="shared" si="553"/>
        <v>4.45</v>
      </c>
      <c r="T2220" s="2"/>
      <c r="U2220" s="2"/>
      <c r="Y2220" s="8">
        <f t="shared" si="551"/>
        <v>1.7799516304347827</v>
      </c>
    </row>
    <row r="2221" spans="1:25" x14ac:dyDescent="0.25">
      <c r="A2221" s="70">
        <f t="shared" si="555"/>
        <v>2202</v>
      </c>
      <c r="B2221" s="77">
        <f t="shared" si="555"/>
        <v>214</v>
      </c>
      <c r="C2221" s="88" t="s">
        <v>660</v>
      </c>
      <c r="D2221" s="51" t="s">
        <v>661</v>
      </c>
      <c r="E2221" s="51"/>
      <c r="F2221" s="87">
        <v>0.108269</v>
      </c>
      <c r="G2221" s="87">
        <f t="shared" si="544"/>
        <v>2.1328993000000001E-2</v>
      </c>
      <c r="H2221" s="66">
        <v>4.1953999999999998E-2</v>
      </c>
      <c r="I2221" s="66">
        <f t="shared" si="545"/>
        <v>6.2930999999999994E-3</v>
      </c>
      <c r="J2221" s="32">
        <f t="shared" si="552"/>
        <v>9.3347650000000004E-2</v>
      </c>
      <c r="K2221" s="33">
        <f t="shared" si="547"/>
        <v>1.4002147500000001E-2</v>
      </c>
      <c r="L2221" s="33"/>
      <c r="O2221" s="2">
        <f t="shared" si="548"/>
        <v>1.7480833333333334E-2</v>
      </c>
      <c r="P2221" s="2">
        <f t="shared" si="549"/>
        <v>12.586200000000002</v>
      </c>
      <c r="Q2221" s="7">
        <f t="shared" si="550"/>
        <v>57.002717391304358</v>
      </c>
      <c r="R2221" s="2">
        <v>1.2</v>
      </c>
      <c r="S2221" s="2">
        <f t="shared" si="553"/>
        <v>4.45</v>
      </c>
      <c r="T2221" s="2"/>
      <c r="U2221" s="2"/>
      <c r="Y2221" s="8">
        <f t="shared" si="551"/>
        <v>2.0292967391304346</v>
      </c>
    </row>
    <row r="2222" spans="1:25" x14ac:dyDescent="0.25">
      <c r="A2222" s="70">
        <f t="shared" si="555"/>
        <v>2203</v>
      </c>
      <c r="B2222" s="77">
        <f t="shared" si="555"/>
        <v>215</v>
      </c>
      <c r="C2222" s="88" t="s">
        <v>660</v>
      </c>
      <c r="D2222" s="51">
        <v>47</v>
      </c>
      <c r="E2222" s="51"/>
      <c r="F2222" s="87">
        <v>0.10147100000000001</v>
      </c>
      <c r="G2222" s="87">
        <f t="shared" si="544"/>
        <v>1.9989787000000002E-2</v>
      </c>
      <c r="H2222" s="66">
        <v>3.7536E-2</v>
      </c>
      <c r="I2222" s="66">
        <f t="shared" si="545"/>
        <v>5.6303999999999998E-3</v>
      </c>
      <c r="J2222" s="32">
        <f t="shared" si="552"/>
        <v>8.3517599999999997E-2</v>
      </c>
      <c r="K2222" s="33">
        <f t="shared" si="547"/>
        <v>1.252764E-2</v>
      </c>
      <c r="L2222" s="33"/>
      <c r="O2222" s="2">
        <f t="shared" si="548"/>
        <v>1.5640000000000001E-2</v>
      </c>
      <c r="P2222" s="2">
        <f t="shared" si="549"/>
        <v>11.260800000000001</v>
      </c>
      <c r="Q2222" s="7">
        <f t="shared" si="550"/>
        <v>51.000000000000007</v>
      </c>
      <c r="R2222" s="2">
        <v>1.2</v>
      </c>
      <c r="S2222" s="2">
        <f t="shared" si="553"/>
        <v>4.45</v>
      </c>
      <c r="T2222" s="2"/>
      <c r="U2222" s="2"/>
      <c r="Y2222" s="8">
        <f t="shared" si="551"/>
        <v>1.8155999999999999</v>
      </c>
    </row>
    <row r="2223" spans="1:25" x14ac:dyDescent="0.25">
      <c r="A2223" s="70">
        <f t="shared" si="555"/>
        <v>2204</v>
      </c>
      <c r="B2223" s="77">
        <f t="shared" si="555"/>
        <v>216</v>
      </c>
      <c r="C2223" s="88" t="s">
        <v>660</v>
      </c>
      <c r="D2223" s="51">
        <v>53</v>
      </c>
      <c r="E2223" s="51"/>
      <c r="F2223" s="87">
        <v>0.10190100000000001</v>
      </c>
      <c r="G2223" s="87">
        <f t="shared" si="544"/>
        <v>2.0074497000000004E-2</v>
      </c>
      <c r="H2223" s="66">
        <v>5.0047000000000001E-2</v>
      </c>
      <c r="I2223" s="66">
        <f t="shared" si="545"/>
        <v>7.5070499999999995E-3</v>
      </c>
      <c r="J2223" s="32">
        <f t="shared" si="552"/>
        <v>0.11135457500000001</v>
      </c>
      <c r="K2223" s="33">
        <f t="shared" si="547"/>
        <v>1.6703186250000002E-2</v>
      </c>
      <c r="L2223" s="33"/>
      <c r="O2223" s="2">
        <f t="shared" si="548"/>
        <v>2.0852916666666669E-2</v>
      </c>
      <c r="P2223" s="2">
        <f t="shared" si="549"/>
        <v>15.014100000000003</v>
      </c>
      <c r="Q2223" s="7">
        <f t="shared" si="550"/>
        <v>67.998641304347842</v>
      </c>
      <c r="R2223" s="2">
        <v>1.2</v>
      </c>
      <c r="S2223" s="2">
        <f t="shared" si="553"/>
        <v>4.45</v>
      </c>
      <c r="T2223" s="2"/>
      <c r="U2223" s="2"/>
      <c r="Y2223" s="8">
        <f t="shared" si="551"/>
        <v>2.4207516304347831</v>
      </c>
    </row>
    <row r="2224" spans="1:25" x14ac:dyDescent="0.25">
      <c r="A2224" s="70">
        <f t="shared" si="555"/>
        <v>2205</v>
      </c>
      <c r="B2224" s="77">
        <f t="shared" si="555"/>
        <v>217</v>
      </c>
      <c r="C2224" s="88" t="s">
        <v>649</v>
      </c>
      <c r="D2224" s="51" t="s">
        <v>662</v>
      </c>
      <c r="E2224" s="51"/>
      <c r="F2224" s="87">
        <v>1.9369999999999998E-2</v>
      </c>
      <c r="G2224" s="87">
        <f t="shared" si="544"/>
        <v>3.8158899999999997E-3</v>
      </c>
      <c r="H2224" s="66">
        <v>7.9071000000000002E-2</v>
      </c>
      <c r="I2224" s="66">
        <f t="shared" si="545"/>
        <v>1.186065E-2</v>
      </c>
      <c r="J2224" s="32">
        <f t="shared" si="552"/>
        <v>0.17593297500000002</v>
      </c>
      <c r="K2224" s="33">
        <f t="shared" si="547"/>
        <v>2.6389946250000001E-2</v>
      </c>
      <c r="L2224" s="33"/>
      <c r="O2224" s="2">
        <f t="shared" si="548"/>
        <v>3.2946250000000003E-2</v>
      </c>
      <c r="P2224" s="2">
        <f t="shared" si="549"/>
        <v>23.721299999999999</v>
      </c>
      <c r="Q2224" s="7">
        <f t="shared" si="550"/>
        <v>107.43342391304348</v>
      </c>
      <c r="R2224" s="2">
        <v>1.2</v>
      </c>
      <c r="S2224" s="2">
        <f t="shared" si="553"/>
        <v>4.45</v>
      </c>
      <c r="T2224" s="2"/>
      <c r="U2224" s="2"/>
      <c r="Y2224" s="8">
        <f t="shared" si="551"/>
        <v>3.8246298913043484</v>
      </c>
    </row>
    <row r="2225" spans="1:25" x14ac:dyDescent="0.25">
      <c r="A2225" s="70">
        <f t="shared" si="555"/>
        <v>2206</v>
      </c>
      <c r="B2225" s="77">
        <f t="shared" si="555"/>
        <v>218</v>
      </c>
      <c r="C2225" s="88" t="s">
        <v>657</v>
      </c>
      <c r="D2225" s="51" t="s">
        <v>663</v>
      </c>
      <c r="E2225" s="51"/>
      <c r="F2225" s="87">
        <v>9.3965999999999994E-2</v>
      </c>
      <c r="G2225" s="87">
        <f t="shared" si="544"/>
        <v>1.8511302E-2</v>
      </c>
      <c r="H2225" s="66">
        <v>2.4723999999999999E-2</v>
      </c>
      <c r="I2225" s="66">
        <f t="shared" si="545"/>
        <v>3.7085999999999998E-3</v>
      </c>
      <c r="J2225" s="32">
        <f t="shared" si="552"/>
        <v>5.5010900000000001E-2</v>
      </c>
      <c r="K2225" s="33">
        <f t="shared" si="547"/>
        <v>8.2516350000000002E-3</v>
      </c>
      <c r="L2225" s="24" t="s">
        <v>16</v>
      </c>
      <c r="O2225" s="2">
        <f t="shared" si="548"/>
        <v>1.0301666666666667E-2</v>
      </c>
      <c r="P2225" s="2">
        <f t="shared" si="549"/>
        <v>7.4172000000000002</v>
      </c>
      <c r="Q2225" s="7">
        <f t="shared" si="550"/>
        <v>33.592391304347828</v>
      </c>
      <c r="R2225" s="2">
        <v>1.2</v>
      </c>
      <c r="S2225" s="2">
        <f t="shared" si="553"/>
        <v>4.45</v>
      </c>
      <c r="T2225" s="2"/>
      <c r="U2225" s="2"/>
      <c r="Y2225" s="8">
        <f t="shared" si="551"/>
        <v>1.1958891304347827</v>
      </c>
    </row>
    <row r="2226" spans="1:25" x14ac:dyDescent="0.25">
      <c r="A2226" s="70">
        <f t="shared" si="555"/>
        <v>2207</v>
      </c>
      <c r="B2226" s="77">
        <f t="shared" si="555"/>
        <v>219</v>
      </c>
      <c r="C2226" s="88" t="s">
        <v>657</v>
      </c>
      <c r="D2226" s="51" t="s">
        <v>664</v>
      </c>
      <c r="E2226" s="51"/>
      <c r="F2226" s="87">
        <v>7.5551999999999994E-2</v>
      </c>
      <c r="G2226" s="87">
        <f t="shared" si="544"/>
        <v>1.4883743999999999E-2</v>
      </c>
      <c r="H2226" s="66">
        <v>1.8488000000000001E-2</v>
      </c>
      <c r="I2226" s="66">
        <f t="shared" si="545"/>
        <v>2.7732E-3</v>
      </c>
      <c r="J2226" s="32">
        <f t="shared" si="552"/>
        <v>4.1135800000000007E-2</v>
      </c>
      <c r="K2226" s="33">
        <f t="shared" si="547"/>
        <v>6.1703700000000005E-3</v>
      </c>
      <c r="L2226" s="24" t="s">
        <v>16</v>
      </c>
      <c r="O2226" s="2">
        <f t="shared" si="548"/>
        <v>7.7033333333333337E-3</v>
      </c>
      <c r="P2226" s="2">
        <f t="shared" si="549"/>
        <v>5.5464000000000002</v>
      </c>
      <c r="Q2226" s="7">
        <f t="shared" si="550"/>
        <v>25.119565217391305</v>
      </c>
      <c r="R2226" s="2">
        <v>1.2</v>
      </c>
      <c r="S2226" s="2">
        <f t="shared" si="553"/>
        <v>4.45</v>
      </c>
      <c r="T2226" s="2"/>
      <c r="U2226" s="2"/>
      <c r="Y2226" s="8">
        <f t="shared" si="551"/>
        <v>0.89425652173913062</v>
      </c>
    </row>
    <row r="2227" spans="1:25" x14ac:dyDescent="0.25">
      <c r="A2227" s="70">
        <f>A2226+1</f>
        <v>2208</v>
      </c>
      <c r="B2227" s="77">
        <f t="shared" si="555"/>
        <v>220</v>
      </c>
      <c r="C2227" s="88" t="s">
        <v>665</v>
      </c>
      <c r="D2227" s="77">
        <v>40</v>
      </c>
      <c r="E2227" s="77"/>
      <c r="F2227" s="87">
        <v>0.183255</v>
      </c>
      <c r="G2227" s="87">
        <f t="shared" si="544"/>
        <v>3.6101235000000002E-2</v>
      </c>
      <c r="H2227" s="66">
        <v>0.16379199999999999</v>
      </c>
      <c r="I2227" s="66">
        <f>H2227*0.15</f>
        <v>2.4568799999999998E-2</v>
      </c>
      <c r="J2227" s="32">
        <f t="shared" si="552"/>
        <v>0.30301519999999998</v>
      </c>
      <c r="K2227" s="33">
        <f t="shared" si="547"/>
        <v>4.5452279999999998E-2</v>
      </c>
      <c r="L2227" s="24" t="s">
        <v>16</v>
      </c>
      <c r="O2227" s="2">
        <f t="shared" si="548"/>
        <v>6.8246666666666664E-2</v>
      </c>
      <c r="P2227" s="2">
        <f t="shared" si="549"/>
        <v>49.137599999999992</v>
      </c>
      <c r="Q2227" s="7">
        <f t="shared" si="550"/>
        <v>222.54347826086953</v>
      </c>
      <c r="R2227" s="2">
        <v>1.2</v>
      </c>
      <c r="S2227" s="2">
        <f t="shared" si="553"/>
        <v>3.7</v>
      </c>
      <c r="T2227" s="2"/>
      <c r="U2227" s="2"/>
      <c r="Y2227" s="8">
        <f t="shared" si="551"/>
        <v>6.5872869565217389</v>
      </c>
    </row>
    <row r="2228" spans="1:25" x14ac:dyDescent="0.25">
      <c r="A2228" s="70">
        <f t="shared" si="555"/>
        <v>2209</v>
      </c>
      <c r="B2228" s="77">
        <f t="shared" si="555"/>
        <v>221</v>
      </c>
      <c r="C2228" s="88" t="s">
        <v>665</v>
      </c>
      <c r="D2228" s="77" t="s">
        <v>225</v>
      </c>
      <c r="E2228" s="77"/>
      <c r="F2228" s="87">
        <v>0.24656900000000001</v>
      </c>
      <c r="G2228" s="87">
        <f t="shared" si="544"/>
        <v>4.8574093000000006E-2</v>
      </c>
      <c r="H2228" s="66">
        <v>0.19751199999999999</v>
      </c>
      <c r="I2228" s="66">
        <f t="shared" si="545"/>
        <v>2.9626799999999998E-2</v>
      </c>
      <c r="J2228" s="32">
        <f t="shared" si="552"/>
        <v>0.35058379999999995</v>
      </c>
      <c r="K2228" s="33">
        <f t="shared" si="547"/>
        <v>5.2587569999999993E-2</v>
      </c>
      <c r="L2228" s="24" t="s">
        <v>16</v>
      </c>
      <c r="O2228" s="2">
        <f t="shared" si="548"/>
        <v>8.2296666666666671E-2</v>
      </c>
      <c r="P2228" s="2">
        <f t="shared" si="549"/>
        <v>59.253599999999999</v>
      </c>
      <c r="Q2228" s="7">
        <f t="shared" si="550"/>
        <v>268.35869565217394</v>
      </c>
      <c r="R2228" s="2">
        <v>1.2</v>
      </c>
      <c r="S2228" s="2">
        <f t="shared" si="553"/>
        <v>3.55</v>
      </c>
      <c r="T2228" s="2"/>
      <c r="U2228" s="2"/>
      <c r="Y2228" s="8">
        <f t="shared" si="551"/>
        <v>7.6213869565217376</v>
      </c>
    </row>
    <row r="2229" spans="1:25" x14ac:dyDescent="0.25">
      <c r="A2229" s="70">
        <f t="shared" si="555"/>
        <v>2210</v>
      </c>
      <c r="B2229" s="77">
        <f t="shared" si="555"/>
        <v>222</v>
      </c>
      <c r="C2229" s="88" t="s">
        <v>666</v>
      </c>
      <c r="D2229" s="77">
        <v>71</v>
      </c>
      <c r="E2229" s="77"/>
      <c r="F2229" s="87">
        <v>0.19059999999999999</v>
      </c>
      <c r="G2229" s="87">
        <f t="shared" si="544"/>
        <v>3.7548199999999997E-2</v>
      </c>
      <c r="H2229" s="66">
        <v>0.16500000000000001</v>
      </c>
      <c r="I2229" s="66">
        <f>H2229*0.15</f>
        <v>2.4750000000000001E-2</v>
      </c>
      <c r="J2229" s="32">
        <f t="shared" si="552"/>
        <v>0.30525000000000002</v>
      </c>
      <c r="K2229" s="33">
        <f t="shared" si="547"/>
        <v>4.5787500000000002E-2</v>
      </c>
      <c r="L2229" s="24" t="s">
        <v>16</v>
      </c>
      <c r="O2229" s="2">
        <f t="shared" si="548"/>
        <v>6.8750000000000006E-2</v>
      </c>
      <c r="P2229" s="2">
        <f t="shared" si="549"/>
        <v>49.500000000000007</v>
      </c>
      <c r="Q2229" s="7">
        <f t="shared" si="550"/>
        <v>224.18478260869568</v>
      </c>
      <c r="R2229" s="2">
        <v>1.2</v>
      </c>
      <c r="S2229" s="2">
        <f t="shared" si="553"/>
        <v>3.7</v>
      </c>
      <c r="T2229" s="2"/>
      <c r="U2229" s="2"/>
      <c r="Y2229" s="8">
        <f t="shared" si="551"/>
        <v>6.6358695652173916</v>
      </c>
    </row>
    <row r="2231" spans="1:25" x14ac:dyDescent="0.25">
      <c r="A2231" s="2"/>
      <c r="T2231" s="2"/>
      <c r="U2231" s="2"/>
    </row>
    <row r="2232" spans="1:25" x14ac:dyDescent="0.25">
      <c r="A2232" s="120" t="s">
        <v>667</v>
      </c>
      <c r="B2232" s="120"/>
      <c r="C2232" s="120"/>
      <c r="D2232" s="120"/>
      <c r="E2232" s="120"/>
      <c r="F2232" s="120"/>
      <c r="G2232" s="120"/>
      <c r="H2232" s="120"/>
      <c r="I2232" s="120"/>
      <c r="J2232" s="120"/>
      <c r="K2232" s="120"/>
      <c r="T2232" s="2"/>
      <c r="U2232" s="2"/>
    </row>
    <row r="2233" spans="1:25" x14ac:dyDescent="0.25">
      <c r="T2233" s="2"/>
      <c r="U2233" s="2"/>
    </row>
    <row r="2234" spans="1:25" x14ac:dyDescent="0.25">
      <c r="T2234" s="2"/>
      <c r="U2234" s="2"/>
    </row>
  </sheetData>
  <mergeCells count="39">
    <mergeCell ref="H2039:H2040"/>
    <mergeCell ref="I2039:I2040"/>
    <mergeCell ref="A2232:K2232"/>
    <mergeCell ref="H2042:H2043"/>
    <mergeCell ref="I2042:I2043"/>
    <mergeCell ref="H2044:H2045"/>
    <mergeCell ref="I2044:I2045"/>
    <mergeCell ref="C2149:C2151"/>
    <mergeCell ref="D2149:D2151"/>
    <mergeCell ref="E2005:E2007"/>
    <mergeCell ref="H2013:H2014"/>
    <mergeCell ref="I2013:I2014"/>
    <mergeCell ref="H2033:H2034"/>
    <mergeCell ref="I2033:I2034"/>
    <mergeCell ref="F2005:K2005"/>
    <mergeCell ref="F2006:G2006"/>
    <mergeCell ref="H2006:I2006"/>
    <mergeCell ref="J2006:K2006"/>
    <mergeCell ref="E1832:E1834"/>
    <mergeCell ref="F1832:K1832"/>
    <mergeCell ref="F1833:G1833"/>
    <mergeCell ref="H1833:I1833"/>
    <mergeCell ref="J1833:K1833"/>
    <mergeCell ref="E1840:E1841"/>
    <mergeCell ref="A2005:A2007"/>
    <mergeCell ref="C2005:C2007"/>
    <mergeCell ref="D2005:D2007"/>
    <mergeCell ref="F6:K6"/>
    <mergeCell ref="F7:G7"/>
    <mergeCell ref="H7:I7"/>
    <mergeCell ref="J7:K7"/>
    <mergeCell ref="A6:A8"/>
    <mergeCell ref="B6:B8"/>
    <mergeCell ref="C6:C8"/>
    <mergeCell ref="D6:D8"/>
    <mergeCell ref="E6:E8"/>
    <mergeCell ref="A1832:A1834"/>
    <mergeCell ref="C1832:C1834"/>
    <mergeCell ref="D1832:D18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2020-06-08T08:10:50Z</dcterms:created>
  <dcterms:modified xsi:type="dcterms:W3CDTF">2020-06-15T07:11:08Z</dcterms:modified>
</cp:coreProperties>
</file>